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2120" windowHeight="9120" tabRatio="709" activeTab="2"/>
  </bookViews>
  <sheets>
    <sheet name="入住费用计算器" sheetId="1" r:id="rId1"/>
    <sheet name="公积金自由还款计算器" sheetId="2" r:id="rId2"/>
    <sheet name="超强贷款计算器" sheetId="3" r:id="rId3"/>
    <sheet name="二手房计算器" sheetId="4" r:id="rId4"/>
  </sheets>
  <definedNames/>
  <calcPr fullCalcOnLoad="1"/>
</workbook>
</file>

<file path=xl/sharedStrings.xml><?xml version="1.0" encoding="utf-8"?>
<sst xmlns="http://schemas.openxmlformats.org/spreadsheetml/2006/main" count="179" uniqueCount="159">
  <si>
    <t>商业贷款</t>
  </si>
  <si>
    <t>单价</t>
  </si>
  <si>
    <t>面积</t>
  </si>
  <si>
    <t>综合地价款</t>
  </si>
  <si>
    <t>总价</t>
  </si>
  <si>
    <t>首付</t>
  </si>
  <si>
    <t>贷款年限</t>
  </si>
  <si>
    <t>贷款额（万元）</t>
  </si>
  <si>
    <t>还款期数</t>
  </si>
  <si>
    <t>月还款</t>
  </si>
  <si>
    <t>本息合计</t>
  </si>
  <si>
    <t>总利息</t>
  </si>
  <si>
    <t>贷款年限</t>
  </si>
  <si>
    <t>贷款额（万元）</t>
  </si>
  <si>
    <t>注：</t>
  </si>
  <si>
    <r>
      <t>2</t>
    </r>
    <r>
      <rPr>
        <sz val="12"/>
        <color indexed="8"/>
        <rFont val="宋体"/>
        <family val="0"/>
      </rPr>
      <t>、只输入黄色区域的数据即可计算出结果。</t>
    </r>
  </si>
  <si>
    <t>每月还款本金</t>
  </si>
  <si>
    <t>总还款利息</t>
  </si>
  <si>
    <t>本息总还款</t>
  </si>
  <si>
    <t>还款利息</t>
  </si>
  <si>
    <t>本息合计</t>
  </si>
  <si>
    <r>
      <t>3</t>
    </r>
    <r>
      <rPr>
        <sz val="12"/>
        <color indexed="8"/>
        <rFont val="宋体"/>
        <family val="0"/>
      </rPr>
      <t>、可另存为本地文件。</t>
    </r>
  </si>
  <si>
    <t>商业贷款等额本金还款计算器</t>
  </si>
  <si>
    <r>
      <t>查询第</t>
    </r>
    <r>
      <rPr>
        <sz val="12"/>
        <rFont val="Times New Roman"/>
        <family val="1"/>
      </rPr>
      <t>N</t>
    </r>
    <r>
      <rPr>
        <sz val="12"/>
        <rFont val="宋体"/>
        <family val="0"/>
      </rPr>
      <t>年还款</t>
    </r>
  </si>
  <si>
    <t>公积金贷款</t>
  </si>
  <si>
    <t>最大贷款额（万元）</t>
  </si>
  <si>
    <r>
      <t>第</t>
    </r>
    <r>
      <rPr>
        <sz val="12"/>
        <color indexed="8"/>
        <rFont val="Times New Roman"/>
        <family val="1"/>
      </rPr>
      <t>N</t>
    </r>
    <r>
      <rPr>
        <sz val="12"/>
        <color indexed="8"/>
        <rFont val="宋体"/>
        <family val="0"/>
      </rPr>
      <t>年还款</t>
    </r>
  </si>
  <si>
    <r>
      <t>本还款年度</t>
    </r>
    <r>
      <rPr>
        <sz val="12"/>
        <color indexed="8"/>
        <rFont val="Times New Roman"/>
        <family val="1"/>
      </rPr>
      <t>1</t>
    </r>
    <r>
      <rPr>
        <sz val="12"/>
        <color indexed="8"/>
        <rFont val="宋体"/>
        <family val="0"/>
      </rPr>
      <t>期</t>
    </r>
  </si>
  <si>
    <r>
      <t>本还款年度</t>
    </r>
    <r>
      <rPr>
        <sz val="12"/>
        <color indexed="8"/>
        <rFont val="Times New Roman"/>
        <family val="1"/>
      </rPr>
      <t>2</t>
    </r>
    <r>
      <rPr>
        <sz val="12"/>
        <color indexed="8"/>
        <rFont val="宋体"/>
        <family val="0"/>
      </rPr>
      <t>期</t>
    </r>
  </si>
  <si>
    <r>
      <t>本还款年度</t>
    </r>
    <r>
      <rPr>
        <sz val="12"/>
        <color indexed="8"/>
        <rFont val="Times New Roman"/>
        <family val="1"/>
      </rPr>
      <t>3</t>
    </r>
    <r>
      <rPr>
        <sz val="12"/>
        <color indexed="8"/>
        <rFont val="宋体"/>
        <family val="0"/>
      </rPr>
      <t>期</t>
    </r>
  </si>
  <si>
    <r>
      <t>本还款年度</t>
    </r>
    <r>
      <rPr>
        <sz val="12"/>
        <color indexed="8"/>
        <rFont val="Times New Roman"/>
        <family val="1"/>
      </rPr>
      <t>4</t>
    </r>
    <r>
      <rPr>
        <sz val="12"/>
        <color indexed="8"/>
        <rFont val="宋体"/>
        <family val="0"/>
      </rPr>
      <t>期</t>
    </r>
  </si>
  <si>
    <r>
      <t>本还款年度</t>
    </r>
    <r>
      <rPr>
        <sz val="12"/>
        <color indexed="8"/>
        <rFont val="Times New Roman"/>
        <family val="1"/>
      </rPr>
      <t>5</t>
    </r>
    <r>
      <rPr>
        <sz val="12"/>
        <color indexed="8"/>
        <rFont val="宋体"/>
        <family val="0"/>
      </rPr>
      <t>期</t>
    </r>
  </si>
  <si>
    <r>
      <t>本还款年度</t>
    </r>
    <r>
      <rPr>
        <sz val="12"/>
        <color indexed="8"/>
        <rFont val="Times New Roman"/>
        <family val="1"/>
      </rPr>
      <t>6</t>
    </r>
    <r>
      <rPr>
        <sz val="12"/>
        <color indexed="8"/>
        <rFont val="宋体"/>
        <family val="0"/>
      </rPr>
      <t>期</t>
    </r>
  </si>
  <si>
    <r>
      <t>本还款年度</t>
    </r>
    <r>
      <rPr>
        <sz val="12"/>
        <color indexed="8"/>
        <rFont val="Times New Roman"/>
        <family val="1"/>
      </rPr>
      <t>7</t>
    </r>
    <r>
      <rPr>
        <sz val="12"/>
        <color indexed="8"/>
        <rFont val="宋体"/>
        <family val="0"/>
      </rPr>
      <t>期</t>
    </r>
  </si>
  <si>
    <r>
      <t>本还款年度</t>
    </r>
    <r>
      <rPr>
        <sz val="12"/>
        <color indexed="8"/>
        <rFont val="Times New Roman"/>
        <family val="1"/>
      </rPr>
      <t>8</t>
    </r>
    <r>
      <rPr>
        <sz val="12"/>
        <color indexed="8"/>
        <rFont val="宋体"/>
        <family val="0"/>
      </rPr>
      <t>期</t>
    </r>
  </si>
  <si>
    <r>
      <t>本还款年度</t>
    </r>
    <r>
      <rPr>
        <sz val="12"/>
        <color indexed="8"/>
        <rFont val="Times New Roman"/>
        <family val="1"/>
      </rPr>
      <t>9</t>
    </r>
    <r>
      <rPr>
        <sz val="12"/>
        <color indexed="8"/>
        <rFont val="宋体"/>
        <family val="0"/>
      </rPr>
      <t>期</t>
    </r>
  </si>
  <si>
    <r>
      <t>本还款年度</t>
    </r>
    <r>
      <rPr>
        <sz val="12"/>
        <color indexed="8"/>
        <rFont val="Times New Roman"/>
        <family val="1"/>
      </rPr>
      <t>10</t>
    </r>
    <r>
      <rPr>
        <sz val="12"/>
        <color indexed="8"/>
        <rFont val="宋体"/>
        <family val="0"/>
      </rPr>
      <t>期</t>
    </r>
  </si>
  <si>
    <r>
      <t>本还款年度</t>
    </r>
    <r>
      <rPr>
        <sz val="12"/>
        <color indexed="8"/>
        <rFont val="Times New Roman"/>
        <family val="1"/>
      </rPr>
      <t>11</t>
    </r>
    <r>
      <rPr>
        <sz val="12"/>
        <color indexed="8"/>
        <rFont val="宋体"/>
        <family val="0"/>
      </rPr>
      <t>期</t>
    </r>
  </si>
  <si>
    <r>
      <t>本还款年度</t>
    </r>
    <r>
      <rPr>
        <sz val="12"/>
        <color indexed="8"/>
        <rFont val="Times New Roman"/>
        <family val="1"/>
      </rPr>
      <t>12</t>
    </r>
    <r>
      <rPr>
        <sz val="12"/>
        <color indexed="8"/>
        <rFont val="宋体"/>
        <family val="0"/>
      </rPr>
      <t>期</t>
    </r>
  </si>
  <si>
    <t>年利率</t>
  </si>
  <si>
    <r>
      <t xml:space="preserve">            贷款计算器   </t>
    </r>
    <r>
      <rPr>
        <sz val="15"/>
        <color indexed="10"/>
        <rFont val="隶书"/>
        <family val="3"/>
      </rPr>
      <t>制作：龙兴天下1.04.2005</t>
    </r>
  </si>
  <si>
    <t>入住手续中应交费用计算表</t>
  </si>
  <si>
    <t>制表：</t>
  </si>
  <si>
    <t>风之旅03-4-13</t>
  </si>
  <si>
    <r>
      <t>修改：龙兴天下 04</t>
    </r>
    <r>
      <rPr>
        <sz val="12"/>
        <rFont val="宋体"/>
        <family val="0"/>
      </rPr>
      <t>-</t>
    </r>
    <r>
      <rPr>
        <sz val="12"/>
        <rFont val="宋体"/>
        <family val="0"/>
      </rPr>
      <t>12</t>
    </r>
    <r>
      <rPr>
        <sz val="12"/>
        <rFont val="宋体"/>
        <family val="0"/>
      </rPr>
      <t>-</t>
    </r>
    <r>
      <rPr>
        <sz val="12"/>
        <rFont val="宋体"/>
        <family val="0"/>
      </rPr>
      <t>16</t>
    </r>
  </si>
  <si>
    <t>款项名称</t>
  </si>
  <si>
    <t>费率</t>
  </si>
  <si>
    <t>核算单位</t>
  </si>
  <si>
    <t>单位数量</t>
  </si>
  <si>
    <t>单项费用</t>
  </si>
  <si>
    <t>小计</t>
  </si>
  <si>
    <r>
      <t>物业管理</t>
    </r>
    <r>
      <rPr>
        <b/>
        <sz val="12"/>
        <rFont val="宋体"/>
        <family val="0"/>
      </rPr>
      <t>服务费</t>
    </r>
  </si>
  <si>
    <t>物业服务费</t>
  </si>
  <si>
    <r>
      <t>每建筑平米</t>
    </r>
    <r>
      <rPr>
        <sz val="9"/>
        <rFont val="Times New Roman"/>
        <family val="1"/>
      </rPr>
      <t>*</t>
    </r>
    <r>
      <rPr>
        <sz val="9"/>
        <rFont val="宋体"/>
        <family val="0"/>
      </rPr>
      <t>月</t>
    </r>
  </si>
  <si>
    <t>费用统收服务费</t>
  </si>
  <si>
    <t>每年每户</t>
  </si>
  <si>
    <t>生活垃圾清运费</t>
  </si>
  <si>
    <t>公共楼道照明电费</t>
  </si>
  <si>
    <r>
      <t>维修</t>
    </r>
    <r>
      <rPr>
        <b/>
        <sz val="12"/>
        <rFont val="宋体"/>
        <family val="0"/>
      </rPr>
      <t>基金</t>
    </r>
  </si>
  <si>
    <t>公共维修基金</t>
  </si>
  <si>
    <t>总房款</t>
  </si>
  <si>
    <r>
      <t>一次性</t>
    </r>
    <r>
      <rPr>
        <b/>
        <sz val="12"/>
        <rFont val="宋体"/>
        <family val="0"/>
      </rPr>
      <t>建设费用</t>
    </r>
  </si>
  <si>
    <t>安防设施建设费</t>
  </si>
  <si>
    <t>每户</t>
  </si>
  <si>
    <t>空调设施建设费</t>
  </si>
  <si>
    <t>门窗护栏建设费</t>
  </si>
  <si>
    <r>
      <t>每平米</t>
    </r>
  </si>
  <si>
    <t>有线电视初装费</t>
  </si>
  <si>
    <t>有线电视使用费</t>
  </si>
  <si>
    <r>
      <t>元</t>
    </r>
    <r>
      <rPr>
        <sz val="12"/>
        <rFont val="Times New Roman"/>
        <family val="1"/>
      </rPr>
      <t>/</t>
    </r>
    <r>
      <rPr>
        <sz val="12"/>
        <rFont val="宋体"/>
        <family val="0"/>
      </rPr>
      <t>年</t>
    </r>
  </si>
  <si>
    <r>
      <t>产权</t>
    </r>
    <r>
      <rPr>
        <b/>
        <sz val="12"/>
        <rFont val="宋体"/>
        <family val="0"/>
      </rPr>
      <t>办理</t>
    </r>
    <r>
      <rPr>
        <b/>
        <sz val="12"/>
        <rFont val="宋体"/>
        <family val="0"/>
      </rPr>
      <t>税费</t>
    </r>
  </si>
  <si>
    <t>产权登记费</t>
  </si>
  <si>
    <t>每套住宅</t>
  </si>
  <si>
    <t>权证印花税</t>
  </si>
  <si>
    <t>总房款</t>
  </si>
  <si>
    <r>
      <t>契</t>
    </r>
    <r>
      <rPr>
        <b/>
        <sz val="12"/>
        <rFont val="Times New Roman"/>
        <family val="1"/>
      </rPr>
      <t xml:space="preserve">    </t>
    </r>
    <r>
      <rPr>
        <b/>
        <sz val="12"/>
        <rFont val="宋体"/>
        <family val="0"/>
      </rPr>
      <t>税</t>
    </r>
  </si>
  <si>
    <t>合同印花税</t>
  </si>
  <si>
    <t>分户图表费</t>
  </si>
  <si>
    <t>每建筑平米</t>
  </si>
  <si>
    <t>工本费</t>
  </si>
  <si>
    <t>每证</t>
  </si>
  <si>
    <t>综合地价款</t>
  </si>
  <si>
    <r>
      <t>超</t>
    </r>
    <r>
      <rPr>
        <sz val="12"/>
        <rFont val="宋体"/>
        <family val="0"/>
      </rPr>
      <t>面积</t>
    </r>
    <r>
      <rPr>
        <sz val="12"/>
        <rFont val="宋体"/>
        <family val="0"/>
      </rPr>
      <t>款</t>
    </r>
  </si>
  <si>
    <t>单价</t>
  </si>
  <si>
    <r>
      <t>面积</t>
    </r>
    <r>
      <rPr>
        <sz val="12"/>
        <color indexed="8"/>
        <rFont val="Times New Roman"/>
        <family val="1"/>
      </rPr>
      <t>:</t>
    </r>
    <r>
      <rPr>
        <sz val="12"/>
        <color indexed="8"/>
        <rFont val="宋体"/>
        <family val="0"/>
      </rPr>
      <t>平米</t>
    </r>
  </si>
  <si>
    <t>费用总计</t>
  </si>
  <si>
    <t>请在黄色区域输入单价和面积，费用自动计算</t>
  </si>
  <si>
    <t>交易过程中需交费用</t>
  </si>
  <si>
    <r>
      <t>　　</t>
    </r>
    <r>
      <rPr>
        <sz val="9"/>
        <color indexed="8"/>
        <rFont val="Times New Roman"/>
        <family val="1"/>
      </rPr>
      <t>1</t>
    </r>
    <r>
      <rPr>
        <sz val="9"/>
        <color indexed="8"/>
        <rFont val="宋体"/>
        <family val="0"/>
      </rPr>
      <t>、印花税：房价款的万分之五</t>
    </r>
  </si>
  <si>
    <t>申办产权证过程中需交费用</t>
  </si>
  <si>
    <r>
      <t>　　</t>
    </r>
    <r>
      <rPr>
        <sz val="9"/>
        <color indexed="8"/>
        <rFont val="Times New Roman"/>
        <family val="1"/>
      </rPr>
      <t>1</t>
    </r>
    <r>
      <rPr>
        <sz val="9"/>
        <color indexed="8"/>
        <rFont val="宋体"/>
        <family val="0"/>
      </rPr>
      <t>、登记费：每建筑平方米</t>
    </r>
    <r>
      <rPr>
        <sz val="9"/>
        <color indexed="8"/>
        <rFont val="Times New Roman"/>
        <family val="1"/>
      </rPr>
      <t>0.3</t>
    </r>
    <r>
      <rPr>
        <sz val="9"/>
        <color indexed="8"/>
        <rFont val="宋体"/>
        <family val="0"/>
      </rPr>
      <t>元</t>
    </r>
    <r>
      <rPr>
        <sz val="9"/>
        <color indexed="8"/>
        <rFont val="Times New Roman"/>
        <family val="1"/>
      </rPr>
      <t>;</t>
    </r>
  </si>
  <si>
    <r>
      <t>　　</t>
    </r>
    <r>
      <rPr>
        <sz val="9"/>
        <color indexed="8"/>
        <rFont val="Times New Roman"/>
        <family val="1"/>
      </rPr>
      <t>2</t>
    </r>
    <r>
      <rPr>
        <sz val="9"/>
        <color indexed="8"/>
        <rFont val="宋体"/>
        <family val="0"/>
      </rPr>
      <t>、房屋所有权证工本费：</t>
    </r>
    <r>
      <rPr>
        <sz val="9"/>
        <color indexed="8"/>
        <rFont val="Times New Roman"/>
        <family val="1"/>
      </rPr>
      <t>4</t>
    </r>
    <r>
      <rPr>
        <sz val="9"/>
        <color indexed="8"/>
        <rFont val="宋体"/>
        <family val="0"/>
      </rPr>
      <t>元</t>
    </r>
    <r>
      <rPr>
        <sz val="9"/>
        <color indexed="8"/>
        <rFont val="Times New Roman"/>
        <family val="1"/>
      </rPr>
      <t>/</t>
    </r>
    <r>
      <rPr>
        <sz val="9"/>
        <color indexed="8"/>
        <rFont val="宋体"/>
        <family val="0"/>
      </rPr>
      <t>本</t>
    </r>
  </si>
  <si>
    <r>
      <t>　　</t>
    </r>
    <r>
      <rPr>
        <sz val="9"/>
        <color indexed="8"/>
        <rFont val="Times New Roman"/>
        <family val="1"/>
      </rPr>
      <t>3</t>
    </r>
    <r>
      <rPr>
        <sz val="9"/>
        <color indexed="8"/>
        <rFont val="宋体"/>
        <family val="0"/>
      </rPr>
      <t>、印花税：</t>
    </r>
    <r>
      <rPr>
        <sz val="9"/>
        <color indexed="8"/>
        <rFont val="Times New Roman"/>
        <family val="1"/>
      </rPr>
      <t>5</t>
    </r>
    <r>
      <rPr>
        <sz val="9"/>
        <color indexed="8"/>
        <rFont val="宋体"/>
        <family val="0"/>
      </rPr>
      <t>元</t>
    </r>
    <r>
      <rPr>
        <sz val="9"/>
        <color indexed="8"/>
        <rFont val="Times New Roman"/>
        <family val="1"/>
      </rPr>
      <t>/</t>
    </r>
    <r>
      <rPr>
        <sz val="9"/>
        <color indexed="8"/>
        <rFont val="宋体"/>
        <family val="0"/>
      </rPr>
      <t>件</t>
    </r>
  </si>
  <si>
    <r>
      <t>　　</t>
    </r>
    <r>
      <rPr>
        <sz val="9"/>
        <color indexed="8"/>
        <rFont val="Times New Roman"/>
        <family val="1"/>
      </rPr>
      <t>4</t>
    </r>
    <r>
      <rPr>
        <sz val="9"/>
        <color indexed="8"/>
        <rFont val="宋体"/>
        <family val="0"/>
      </rPr>
      <t>、契税：普通住宅缴纳房价款的</t>
    </r>
    <r>
      <rPr>
        <sz val="9"/>
        <color indexed="8"/>
        <rFont val="Times New Roman"/>
        <family val="1"/>
      </rPr>
      <t>1.5%</t>
    </r>
    <r>
      <rPr>
        <sz val="9"/>
        <color indexed="8"/>
        <rFont val="宋体"/>
        <family val="0"/>
      </rPr>
      <t>；</t>
    </r>
    <r>
      <rPr>
        <sz val="9"/>
        <color indexed="8"/>
        <rFont val="Times New Roman"/>
        <family val="1"/>
      </rPr>
      <t>(</t>
    </r>
    <r>
      <rPr>
        <sz val="9"/>
        <color indexed="8"/>
        <rFont val="宋体"/>
        <family val="0"/>
      </rPr>
      <t>注：别墅、度假村以及第建筑平方米价格超过上年度商品住房平均价格一倍以上的为高档住宅，不享受此税率，仍按</t>
    </r>
    <r>
      <rPr>
        <sz val="9"/>
        <color indexed="8"/>
        <rFont val="Times New Roman"/>
        <family val="1"/>
      </rPr>
      <t>3%</t>
    </r>
    <r>
      <rPr>
        <sz val="9"/>
        <color indexed="8"/>
        <rFont val="宋体"/>
        <family val="0"/>
      </rPr>
      <t>缴纳</t>
    </r>
    <r>
      <rPr>
        <sz val="9"/>
        <color indexed="8"/>
        <rFont val="Times New Roman"/>
        <family val="1"/>
      </rPr>
      <t>)</t>
    </r>
  </si>
  <si>
    <r>
      <t>　　</t>
    </r>
    <r>
      <rPr>
        <sz val="9"/>
        <color indexed="8"/>
        <rFont val="Times New Roman"/>
        <family val="1"/>
      </rPr>
      <t>5</t>
    </r>
    <r>
      <rPr>
        <sz val="9"/>
        <color indexed="8"/>
        <rFont val="宋体"/>
        <family val="0"/>
      </rPr>
      <t>、住宅公用部分共有设备维修基金：购房款的</t>
    </r>
    <r>
      <rPr>
        <sz val="9"/>
        <color indexed="8"/>
        <rFont val="Times New Roman"/>
        <family val="1"/>
      </rPr>
      <t>2%</t>
    </r>
  </si>
  <si>
    <t>　　办理按揭须缴纳的费用</t>
  </si>
  <si>
    <r>
      <t>　　</t>
    </r>
    <r>
      <rPr>
        <sz val="9"/>
        <color indexed="8"/>
        <rFont val="Times New Roman"/>
        <family val="1"/>
      </rPr>
      <t>1</t>
    </r>
    <r>
      <rPr>
        <sz val="9"/>
        <color indexed="8"/>
        <rFont val="宋体"/>
        <family val="0"/>
      </rPr>
      <t>、律师费：贷款额的</t>
    </r>
    <r>
      <rPr>
        <sz val="9"/>
        <color indexed="8"/>
        <rFont val="Times New Roman"/>
        <family val="1"/>
      </rPr>
      <t>0.3%</t>
    </r>
    <r>
      <rPr>
        <sz val="9"/>
        <color indexed="8"/>
        <rFont val="宋体"/>
        <family val="0"/>
      </rPr>
      <t>。</t>
    </r>
  </si>
  <si>
    <r>
      <t>　　</t>
    </r>
    <r>
      <rPr>
        <sz val="9"/>
        <color indexed="8"/>
        <rFont val="Times New Roman"/>
        <family val="1"/>
      </rPr>
      <t>2</t>
    </r>
    <r>
      <rPr>
        <sz val="9"/>
        <color indexed="8"/>
        <rFont val="宋体"/>
        <family val="0"/>
      </rPr>
      <t>、保险费：财险保险费</t>
    </r>
    <r>
      <rPr>
        <sz val="9"/>
        <color indexed="8"/>
        <rFont val="Times New Roman"/>
        <family val="1"/>
      </rPr>
      <t>=</t>
    </r>
    <r>
      <rPr>
        <sz val="9"/>
        <color indexed="8"/>
        <rFont val="宋体"/>
        <family val="0"/>
      </rPr>
      <t>总房款</t>
    </r>
    <r>
      <rPr>
        <sz val="9"/>
        <color indexed="8"/>
        <rFont val="Times New Roman"/>
        <family val="1"/>
      </rPr>
      <t>*</t>
    </r>
    <r>
      <rPr>
        <sz val="9"/>
        <color indexed="8"/>
        <rFont val="宋体"/>
        <family val="0"/>
      </rPr>
      <t>年费率</t>
    </r>
    <r>
      <rPr>
        <sz val="9"/>
        <color indexed="8"/>
        <rFont val="Times New Roman"/>
        <family val="1"/>
      </rPr>
      <t>*</t>
    </r>
    <r>
      <rPr>
        <sz val="9"/>
        <color indexed="8"/>
        <rFont val="宋体"/>
        <family val="0"/>
      </rPr>
      <t>年限系数。保费一次性交。</t>
    </r>
  </si>
  <si>
    <r>
      <t>　　建行采用太平洋保险公司，年费率一般为</t>
    </r>
    <r>
      <rPr>
        <sz val="9"/>
        <color indexed="8"/>
        <rFont val="Times New Roman"/>
        <family val="1"/>
      </rPr>
      <t>0.056%</t>
    </r>
    <r>
      <rPr>
        <sz val="9"/>
        <color indexed="8"/>
        <rFont val="宋体"/>
        <family val="0"/>
      </rPr>
      <t>；</t>
    </r>
  </si>
  <si>
    <r>
      <t>　　工行采用华泰保险公司，年费率为</t>
    </r>
    <r>
      <rPr>
        <sz val="9"/>
        <color indexed="8"/>
        <rFont val="Times New Roman"/>
        <family val="1"/>
      </rPr>
      <t>0.056%</t>
    </r>
    <r>
      <rPr>
        <sz val="9"/>
        <color indexed="8"/>
        <rFont val="宋体"/>
        <family val="0"/>
      </rPr>
      <t>：</t>
    </r>
  </si>
  <si>
    <r>
      <t>　　建行总行，中信采用人民保险公司，年费率为</t>
    </r>
    <r>
      <rPr>
        <sz val="9"/>
        <color indexed="8"/>
        <rFont val="Times New Roman"/>
        <family val="1"/>
      </rPr>
      <t>0.045%</t>
    </r>
    <r>
      <rPr>
        <sz val="9"/>
        <color indexed="8"/>
        <rFont val="宋体"/>
        <family val="0"/>
      </rPr>
      <t>。</t>
    </r>
  </si>
  <si>
    <t>　　办理公积金需缴纳费用</t>
  </si>
  <si>
    <r>
      <t>　　</t>
    </r>
    <r>
      <rPr>
        <sz val="9"/>
        <color indexed="8"/>
        <rFont val="Times New Roman"/>
        <family val="1"/>
      </rPr>
      <t>1</t>
    </r>
    <r>
      <rPr>
        <sz val="9"/>
        <color indexed="8"/>
        <rFont val="宋体"/>
        <family val="0"/>
      </rPr>
      <t>、评估费：评估价格</t>
    </r>
    <r>
      <rPr>
        <sz val="9"/>
        <color indexed="8"/>
        <rFont val="Times New Roman"/>
        <family val="1"/>
      </rPr>
      <t>100</t>
    </r>
    <r>
      <rPr>
        <sz val="9"/>
        <color indexed="8"/>
        <rFont val="宋体"/>
        <family val="0"/>
      </rPr>
      <t>万以下部分收取评估结果的</t>
    </r>
    <r>
      <rPr>
        <sz val="9"/>
        <color indexed="8"/>
        <rFont val="Times New Roman"/>
        <family val="1"/>
      </rPr>
      <t>0.5%</t>
    </r>
    <r>
      <rPr>
        <sz val="9"/>
        <color indexed="8"/>
        <rFont val="宋体"/>
        <family val="0"/>
      </rPr>
      <t>，以上部分</t>
    </r>
    <r>
      <rPr>
        <sz val="9"/>
        <color indexed="8"/>
        <rFont val="Times New Roman"/>
        <family val="1"/>
      </rPr>
      <t>0.25%</t>
    </r>
    <r>
      <rPr>
        <sz val="9"/>
        <color indexed="8"/>
        <rFont val="宋体"/>
        <family val="0"/>
      </rPr>
      <t>。</t>
    </r>
  </si>
  <si>
    <r>
      <t>　　</t>
    </r>
    <r>
      <rPr>
        <sz val="9"/>
        <color indexed="8"/>
        <rFont val="Times New Roman"/>
        <family val="1"/>
      </rPr>
      <t>2</t>
    </r>
    <r>
      <rPr>
        <sz val="9"/>
        <color indexed="8"/>
        <rFont val="宋体"/>
        <family val="0"/>
      </rPr>
      <t>、保险费：财险：保险费</t>
    </r>
    <r>
      <rPr>
        <sz val="9"/>
        <color indexed="8"/>
        <rFont val="Times New Roman"/>
        <family val="1"/>
      </rPr>
      <t>=</t>
    </r>
    <r>
      <rPr>
        <sz val="9"/>
        <color indexed="8"/>
        <rFont val="宋体"/>
        <family val="0"/>
      </rPr>
      <t>贷款额</t>
    </r>
    <r>
      <rPr>
        <sz val="9"/>
        <color indexed="8"/>
        <rFont val="Times New Roman"/>
        <family val="1"/>
      </rPr>
      <t>*</t>
    </r>
    <r>
      <rPr>
        <sz val="9"/>
        <color indexed="8"/>
        <rFont val="宋体"/>
        <family val="0"/>
      </rPr>
      <t>年费率</t>
    </r>
    <r>
      <rPr>
        <sz val="9"/>
        <color indexed="8"/>
        <rFont val="Times New Roman"/>
        <family val="1"/>
      </rPr>
      <t>*</t>
    </r>
    <r>
      <rPr>
        <sz val="9"/>
        <color indexed="8"/>
        <rFont val="宋体"/>
        <family val="0"/>
      </rPr>
      <t>年限系数</t>
    </r>
  </si>
  <si>
    <r>
      <t>　　综合险：保险费</t>
    </r>
    <r>
      <rPr>
        <sz val="9"/>
        <color indexed="8"/>
        <rFont val="Times New Roman"/>
        <family val="1"/>
      </rPr>
      <t>=</t>
    </r>
    <r>
      <rPr>
        <sz val="9"/>
        <color indexed="8"/>
        <rFont val="宋体"/>
        <family val="0"/>
      </rPr>
      <t>贷款人年限对应系数</t>
    </r>
    <r>
      <rPr>
        <sz val="9"/>
        <color indexed="8"/>
        <rFont val="Times New Roman"/>
        <family val="1"/>
      </rPr>
      <t>*</t>
    </r>
    <r>
      <rPr>
        <sz val="9"/>
        <color indexed="8"/>
        <rFont val="宋体"/>
        <family val="0"/>
      </rPr>
      <t>贷款额</t>
    </r>
  </si>
  <si>
    <t>印花税</t>
  </si>
  <si>
    <t>律师费</t>
  </si>
  <si>
    <t>保险费</t>
  </si>
  <si>
    <t>评估费</t>
  </si>
  <si>
    <t>合计</t>
  </si>
  <si>
    <t>等额本息还款计算器</t>
  </si>
  <si>
    <t>担保费</t>
  </si>
  <si>
    <t>商业贷款</t>
  </si>
  <si>
    <t>公积金贷款</t>
  </si>
  <si>
    <t>公积金贷款自由还款表</t>
  </si>
  <si>
    <t>贷款额</t>
  </si>
  <si>
    <t>年</t>
  </si>
  <si>
    <t>第n月</t>
  </si>
  <si>
    <t>剩余本金</t>
  </si>
  <si>
    <t>计划还</t>
  </si>
  <si>
    <t>实际还</t>
  </si>
  <si>
    <t>最低还</t>
  </si>
  <si>
    <t>年利率</t>
  </si>
  <si>
    <t>月利率</t>
  </si>
  <si>
    <t>当期利息</t>
  </si>
  <si>
    <t>当期偿还本金</t>
  </si>
  <si>
    <t>提前还金额</t>
  </si>
  <si>
    <t>总还款</t>
  </si>
  <si>
    <t>总利息</t>
  </si>
  <si>
    <r>
      <t>1</t>
    </r>
    <r>
      <rPr>
        <sz val="12"/>
        <color indexed="8"/>
        <rFont val="宋体"/>
        <family val="0"/>
      </rPr>
      <t>、此计算器的利率为</t>
    </r>
    <r>
      <rPr>
        <sz val="12"/>
        <color indexed="8"/>
        <rFont val="Times New Roman"/>
        <family val="1"/>
      </rPr>
      <t>2005</t>
    </r>
    <r>
      <rPr>
        <sz val="12"/>
        <color indexed="8"/>
        <rFont val="宋体"/>
        <family val="0"/>
      </rPr>
      <t>年</t>
    </r>
    <r>
      <rPr>
        <sz val="12"/>
        <color indexed="8"/>
        <rFont val="Times New Roman"/>
        <family val="1"/>
      </rPr>
      <t>4</t>
    </r>
    <r>
      <rPr>
        <sz val="12"/>
        <color indexed="8"/>
        <rFont val="宋体"/>
        <family val="0"/>
      </rPr>
      <t>月调高后的新利率。</t>
    </r>
  </si>
  <si>
    <r>
      <t>适用于</t>
    </r>
    <r>
      <rPr>
        <sz val="10"/>
        <color indexed="10"/>
        <rFont val="Times New Roman"/>
        <family val="1"/>
      </rPr>
      <t>5</t>
    </r>
    <r>
      <rPr>
        <sz val="10"/>
        <color indexed="10"/>
        <rFont val="隶书"/>
        <family val="3"/>
      </rPr>
      <t>年以上，若</t>
    </r>
    <r>
      <rPr>
        <sz val="10"/>
        <color indexed="10"/>
        <rFont val="Times New Roman"/>
        <family val="1"/>
      </rPr>
      <t>5</t>
    </r>
    <r>
      <rPr>
        <sz val="10"/>
        <color indexed="10"/>
        <rFont val="隶书"/>
        <family val="3"/>
      </rPr>
      <t>年以内，可更改利率为</t>
    </r>
    <r>
      <rPr>
        <sz val="10"/>
        <color indexed="10"/>
        <rFont val="Times New Roman"/>
        <family val="1"/>
      </rPr>
      <t>3.96%</t>
    </r>
  </si>
  <si>
    <r>
      <t>贷款费用</t>
    </r>
    <r>
      <rPr>
        <sz val="12"/>
        <color indexed="8"/>
        <rFont val="Times New Roman"/>
        <family val="1"/>
      </rPr>
      <t>(</t>
    </r>
    <r>
      <rPr>
        <sz val="12"/>
        <color indexed="8"/>
        <rFont val="宋体"/>
        <family val="0"/>
      </rPr>
      <t>大约</t>
    </r>
    <r>
      <rPr>
        <sz val="12"/>
        <color indexed="8"/>
        <rFont val="Times New Roman"/>
        <family val="1"/>
      </rPr>
      <t>)</t>
    </r>
  </si>
  <si>
    <t>费税</t>
  </si>
  <si>
    <t>印花税</t>
  </si>
  <si>
    <t>个税</t>
  </si>
  <si>
    <t>费率</t>
  </si>
  <si>
    <t>贷款代办</t>
  </si>
  <si>
    <t xml:space="preserve">    二手房计算器 </t>
  </si>
  <si>
    <t xml:space="preserve"> 制作：龙兴天下7.04.2005</t>
  </si>
  <si>
    <t>金额</t>
  </si>
  <si>
    <t>契税</t>
  </si>
  <si>
    <t>总价</t>
  </si>
  <si>
    <t>面积</t>
  </si>
  <si>
    <t>单价</t>
  </si>
  <si>
    <t>需要准备现金</t>
  </si>
  <si>
    <t>税费合计</t>
  </si>
  <si>
    <t>万元</t>
  </si>
  <si>
    <t>总付出金额</t>
  </si>
  <si>
    <t>万元</t>
  </si>
  <si>
    <r>
      <t>*</t>
    </r>
    <r>
      <rPr>
        <sz val="16"/>
        <rFont val="宋体"/>
        <family val="0"/>
      </rPr>
      <t>营业税</t>
    </r>
  </si>
  <si>
    <r>
      <t>*</t>
    </r>
    <r>
      <rPr>
        <sz val="12"/>
        <rFont val="宋体"/>
        <family val="0"/>
      </rPr>
      <t>两年以内的二手房需要交纳营业税</t>
    </r>
    <r>
      <rPr>
        <sz val="12"/>
        <rFont val="Times New Roman"/>
        <family val="1"/>
      </rPr>
      <t>5.5%</t>
    </r>
    <r>
      <rPr>
        <sz val="12"/>
        <rFont val="宋体"/>
        <family val="0"/>
      </rPr>
      <t>，两年以上不需要。</t>
    </r>
  </si>
  <si>
    <t>一次性</t>
  </si>
  <si>
    <t>中介费（买方）</t>
  </si>
  <si>
    <t>中介费（卖方）</t>
  </si>
  <si>
    <t>业主收益不含装修</t>
  </si>
  <si>
    <r>
      <t>**</t>
    </r>
    <r>
      <rPr>
        <sz val="16"/>
        <rFont val="宋体"/>
        <family val="0"/>
      </rPr>
      <t>土地出让金</t>
    </r>
  </si>
  <si>
    <r>
      <t>**</t>
    </r>
    <r>
      <rPr>
        <sz val="12"/>
        <rFont val="宋体"/>
        <family val="0"/>
      </rPr>
      <t>转成商品房需要交纳土地出让金，按经济适用房则不需要</t>
    </r>
  </si>
  <si>
    <t>计划贷款额</t>
  </si>
  <si>
    <t>首付款</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</si>
</sst>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Red]&quot;￥&quot;#,##0.00"/>
    <numFmt numFmtId="177" formatCode="0.0"/>
    <numFmt numFmtId="178" formatCode="0.00000"/>
    <numFmt numFmtId="179" formatCode="0.0000"/>
    <numFmt numFmtId="180" formatCode="0.000"/>
    <numFmt numFmtId="181" formatCode="0.00_);[Red]\(0.00\)"/>
    <numFmt numFmtId="182" formatCode="&quot;是&quot;;&quot;是&quot;;&quot;否&quot;"/>
    <numFmt numFmtId="183" formatCode="&quot;真&quot;;&quot;真&quot;;&quot;假&quot;"/>
    <numFmt numFmtId="184" formatCode="&quot;开&quot;;&quot;开&quot;;&quot;关&quot;"/>
    <numFmt numFmtId="185" formatCode="_ * #,##0.0_ ;_ * \-#,##0.0_ ;_ * &quot;-&quot;??_ ;_ @_ "/>
    <numFmt numFmtId="186" formatCode="_ * #,##0_ ;_ * \-#,##0_ ;_ * &quot;-&quot;??_ ;_ @_ "/>
    <numFmt numFmtId="187" formatCode="0.00_ "/>
    <numFmt numFmtId="188" formatCode="_ &quot;￥&quot;* #,##0_ ;_ &quot;￥&quot;* \-#,##0_ ;_ &quot;￥&quot;* &quot;-&quot;??_ ;_ @_ "/>
    <numFmt numFmtId="189" formatCode="_ * #,##0.0000_ ;_ * \-#,##0.0000_ ;_ * &quot;-&quot;????_ ;_ @_ "/>
    <numFmt numFmtId="190" formatCode="_ * #,##0.000_ ;_ * \-#,##0.000_ ;_ * &quot;-&quot;???_ ;_ @_ "/>
    <numFmt numFmtId="191" formatCode="_ * #,##0.00_ ;_ * \-#,##0.00_ ;_ * &quot;-&quot;???_ ;_ @_ "/>
    <numFmt numFmtId="192" formatCode="_ * #,##0.0_ ;_ * \-#,##0.0_ ;_ * &quot;-&quot;???_ ;_ @_ "/>
    <numFmt numFmtId="193" formatCode="0.00_ ;[Red]\-0.00\ "/>
    <numFmt numFmtId="194" formatCode="0_ ;[Red]\-0\ "/>
    <numFmt numFmtId="195" formatCode="0.0%"/>
    <numFmt numFmtId="196" formatCode="_ * #,##0.0_ ;_ * \-#,##0.0_ ;_ * &quot;-&quot;?_ ;_ @_ "/>
  </numFmts>
  <fonts count="34">
    <font>
      <sz val="12"/>
      <name val="宋体"/>
      <family val="0"/>
    </font>
    <font>
      <sz val="9"/>
      <name val="宋体"/>
      <family val="0"/>
    </font>
    <font>
      <sz val="12"/>
      <color indexed="8"/>
      <name val="宋体"/>
      <family val="0"/>
    </font>
    <font>
      <sz val="12"/>
      <color indexed="8"/>
      <name val="Times New Roman"/>
      <family val="1"/>
    </font>
    <font>
      <sz val="12"/>
      <color indexed="10"/>
      <name val="宋体"/>
      <family val="0"/>
    </font>
    <font>
      <sz val="12"/>
      <name val="Times New Roman"/>
      <family val="1"/>
    </font>
    <font>
      <sz val="20"/>
      <color indexed="8"/>
      <name val="隶书"/>
      <family val="3"/>
    </font>
    <font>
      <sz val="20"/>
      <name val="隶书"/>
      <family val="3"/>
    </font>
    <font>
      <sz val="25"/>
      <color indexed="10"/>
      <name val="隶书"/>
      <family val="3"/>
    </font>
    <font>
      <sz val="15"/>
      <color indexed="10"/>
      <name val="隶书"/>
      <family val="3"/>
    </font>
    <font>
      <b/>
      <sz val="12"/>
      <name val="宋体"/>
      <family val="0"/>
    </font>
    <font>
      <b/>
      <sz val="14"/>
      <name val="华文楷体"/>
      <family val="0"/>
    </font>
    <font>
      <sz val="14"/>
      <color indexed="8"/>
      <name val="宋体"/>
      <family val="0"/>
    </font>
    <font>
      <sz val="9"/>
      <name val="Times New Roman"/>
      <family val="1"/>
    </font>
    <font>
      <b/>
      <sz val="12"/>
      <name val="Times New Roman"/>
      <family val="1"/>
    </font>
    <font>
      <b/>
      <sz val="12"/>
      <color indexed="10"/>
      <name val="宋体"/>
      <family val="0"/>
    </font>
    <font>
      <b/>
      <sz val="9"/>
      <color indexed="8"/>
      <name val="宋体"/>
      <family val="0"/>
    </font>
    <font>
      <sz val="9"/>
      <color indexed="8"/>
      <name val="宋体"/>
      <family val="0"/>
    </font>
    <font>
      <sz val="9"/>
      <color indexed="8"/>
      <name val="Times New Roman"/>
      <family val="1"/>
    </font>
    <font>
      <u val="single"/>
      <sz val="10.8"/>
      <color indexed="12"/>
      <name val="宋体"/>
      <family val="0"/>
    </font>
    <font>
      <u val="single"/>
      <sz val="10.8"/>
      <color indexed="36"/>
      <name val="宋体"/>
      <family val="0"/>
    </font>
    <font>
      <sz val="20"/>
      <color indexed="10"/>
      <name val="隶书"/>
      <family val="3"/>
    </font>
    <font>
      <sz val="10"/>
      <name val="宋体"/>
      <family val="0"/>
    </font>
    <font>
      <sz val="20"/>
      <name val="宋体"/>
      <family val="0"/>
    </font>
    <font>
      <sz val="10"/>
      <color indexed="8"/>
      <name val="宋体"/>
      <family val="0"/>
    </font>
    <font>
      <b/>
      <i/>
      <sz val="10"/>
      <name val="宋体"/>
      <family val="0"/>
    </font>
    <font>
      <sz val="10"/>
      <color indexed="10"/>
      <name val="隶书"/>
      <family val="3"/>
    </font>
    <font>
      <sz val="10"/>
      <color indexed="10"/>
      <name val="Times New Roman"/>
      <family val="1"/>
    </font>
    <font>
      <sz val="18"/>
      <name val="宋体"/>
      <family val="0"/>
    </font>
    <font>
      <sz val="16"/>
      <name val="宋体"/>
      <family val="0"/>
    </font>
    <font>
      <sz val="16"/>
      <color indexed="8"/>
      <name val="宋体"/>
      <family val="0"/>
    </font>
    <font>
      <sz val="16"/>
      <color indexed="10"/>
      <name val="宋体"/>
      <family val="0"/>
    </font>
    <font>
      <sz val="16"/>
      <name val="Times New Roman"/>
      <family val="1"/>
    </font>
    <font>
      <sz val="16"/>
      <color indexed="10"/>
      <name val="隶书"/>
      <family val="3"/>
    </font>
  </fonts>
  <fills count="11">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s>
  <borders count="17">
    <border>
      <left/>
      <right/>
      <top/>
      <bottom/>
      <diagonal/>
    </border>
    <border>
      <left style="thin"/>
      <right style="thin"/>
      <top style="thin"/>
      <bottom style="thin"/>
    </border>
    <border>
      <left style="medium"/>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medium"/>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3">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0" fillId="2" borderId="1" xfId="0" applyFont="1" applyFill="1" applyBorder="1" applyAlignment="1">
      <alignment horizontal="center" vertical="center"/>
    </xf>
    <xf numFmtId="0" fontId="0" fillId="3" borderId="1" xfId="0" applyFont="1" applyFill="1" applyBorder="1" applyAlignment="1">
      <alignment vertical="center"/>
    </xf>
    <xf numFmtId="0" fontId="4" fillId="2" borderId="1" xfId="15" applyNumberFormat="1" applyFont="1" applyFill="1" applyBorder="1" applyAlignment="1">
      <alignment vertical="center"/>
    </xf>
    <xf numFmtId="0" fontId="4" fillId="2" borderId="1" xfId="0" applyFont="1" applyFill="1" applyBorder="1" applyAlignment="1">
      <alignment horizontal="right" vertical="center"/>
    </xf>
    <xf numFmtId="0" fontId="0" fillId="0" borderId="0" xfId="0" applyFont="1" applyAlignment="1">
      <alignment vertical="center"/>
    </xf>
    <xf numFmtId="0" fontId="0" fillId="4" borderId="1" xfId="0" applyFont="1" applyFill="1" applyBorder="1" applyAlignment="1">
      <alignment horizontal="center" vertical="center"/>
    </xf>
    <xf numFmtId="0" fontId="0" fillId="3" borderId="1" xfId="0" applyFont="1" applyFill="1" applyBorder="1" applyAlignment="1">
      <alignment horizontal="right" vertical="center"/>
    </xf>
    <xf numFmtId="0" fontId="0" fillId="3" borderId="1" xfId="0" applyFont="1" applyFill="1" applyBorder="1" applyAlignment="1">
      <alignment vertical="center"/>
    </xf>
    <xf numFmtId="0" fontId="4" fillId="4" borderId="1" xfId="0" applyFont="1" applyFill="1" applyBorder="1" applyAlignment="1">
      <alignment vertical="center"/>
    </xf>
    <xf numFmtId="0" fontId="0" fillId="3" borderId="1" xfId="0" applyFont="1" applyFill="1" applyBorder="1" applyAlignment="1">
      <alignment horizontal="right" vertical="center"/>
    </xf>
    <xf numFmtId="2" fontId="2" fillId="5" borderId="1" xfId="0" applyNumberFormat="1" applyFont="1" applyFill="1" applyBorder="1" applyAlignment="1">
      <alignment horizontal="right" vertical="center"/>
    </xf>
    <xf numFmtId="0" fontId="4" fillId="5" borderId="1" xfId="0" applyFont="1" applyFill="1" applyBorder="1" applyAlignment="1">
      <alignment vertical="center"/>
    </xf>
    <xf numFmtId="0" fontId="2" fillId="3" borderId="1" xfId="0" applyFont="1" applyFill="1" applyBorder="1" applyAlignment="1">
      <alignment vertical="center"/>
    </xf>
    <xf numFmtId="2" fontId="2" fillId="5" borderId="1" xfId="0" applyNumberFormat="1" applyFont="1" applyFill="1" applyBorder="1" applyAlignment="1">
      <alignment horizontal="center" vertical="center"/>
    </xf>
    <xf numFmtId="0" fontId="0" fillId="5" borderId="1" xfId="0" applyFont="1" applyFill="1" applyBorder="1" applyAlignment="1">
      <alignment horizontal="center" vertical="center"/>
    </xf>
    <xf numFmtId="0" fontId="0" fillId="5" borderId="1" xfId="0" applyFont="1" applyFill="1" applyBorder="1" applyAlignment="1">
      <alignment horizontal="center"/>
    </xf>
    <xf numFmtId="8" fontId="0" fillId="0" borderId="0" xfId="0" applyNumberFormat="1" applyFont="1" applyAlignment="1">
      <alignment vertical="center"/>
    </xf>
    <xf numFmtId="2" fontId="0" fillId="0" borderId="0" xfId="0" applyNumberFormat="1" applyFont="1" applyAlignment="1">
      <alignment vertical="center"/>
    </xf>
    <xf numFmtId="43" fontId="4" fillId="5" borderId="1" xfId="20" applyFont="1" applyFill="1" applyBorder="1" applyAlignment="1">
      <alignment/>
    </xf>
    <xf numFmtId="43" fontId="4" fillId="5" borderId="1" xfId="20" applyFont="1" applyFill="1" applyBorder="1" applyAlignment="1">
      <alignment horizontal="right" vertical="center"/>
    </xf>
    <xf numFmtId="186" fontId="4" fillId="2" borderId="1" xfId="20" applyNumberFormat="1" applyFont="1" applyFill="1" applyBorder="1" applyAlignment="1">
      <alignment horizontal="right" vertical="center"/>
    </xf>
    <xf numFmtId="43" fontId="4" fillId="4" borderId="1" xfId="20" applyFont="1" applyFill="1" applyBorder="1" applyAlignment="1">
      <alignment horizontal="right" vertical="center"/>
    </xf>
    <xf numFmtId="43" fontId="4" fillId="5" borderId="1" xfId="20" applyFont="1" applyFill="1" applyBorder="1" applyAlignment="1">
      <alignment vertical="center"/>
    </xf>
    <xf numFmtId="0" fontId="0" fillId="4" borderId="1" xfId="0" applyFont="1" applyFill="1" applyBorder="1" applyAlignment="1">
      <alignment horizontal="center" vertical="center"/>
    </xf>
    <xf numFmtId="0" fontId="0" fillId="5" borderId="1" xfId="0" applyFont="1" applyFill="1" applyBorder="1" applyAlignment="1">
      <alignment horizontal="center" vertical="center"/>
    </xf>
    <xf numFmtId="10" fontId="4" fillId="5" borderId="1" xfId="0" applyNumberFormat="1" applyFont="1" applyFill="1" applyBorder="1" applyAlignment="1">
      <alignment horizontal="center" vertical="center"/>
    </xf>
    <xf numFmtId="10" fontId="4" fillId="4" borderId="1" xfId="0" applyNumberFormat="1" applyFont="1" applyFill="1" applyBorder="1" applyAlignment="1">
      <alignment horizontal="center" vertical="center"/>
    </xf>
    <xf numFmtId="8" fontId="4" fillId="4" borderId="1" xfId="20" applyNumberFormat="1" applyFont="1" applyFill="1" applyBorder="1" applyAlignment="1">
      <alignment horizontal="right" vertical="center"/>
    </xf>
    <xf numFmtId="8" fontId="4" fillId="5" borderId="1" xfId="20" applyNumberFormat="1" applyFont="1" applyFill="1" applyBorder="1" applyAlignment="1">
      <alignment horizontal="right" vertical="center"/>
    </xf>
    <xf numFmtId="187" fontId="2" fillId="6" borderId="1" xfId="0" applyNumberFormat="1" applyFont="1" applyFill="1" applyBorder="1" applyAlignment="1">
      <alignment horizontal="left"/>
    </xf>
    <xf numFmtId="187" fontId="12" fillId="6" borderId="1" xfId="0" applyNumberFormat="1" applyFont="1" applyFill="1" applyBorder="1" applyAlignment="1">
      <alignment horizontal="right"/>
    </xf>
    <xf numFmtId="0" fontId="0" fillId="6" borderId="2" xfId="0" applyFill="1" applyBorder="1" applyAlignment="1">
      <alignment horizontal="left"/>
    </xf>
    <xf numFmtId="0" fontId="10" fillId="6" borderId="3" xfId="0" applyFont="1" applyFill="1" applyBorder="1" applyAlignment="1">
      <alignment horizontal="center"/>
    </xf>
    <xf numFmtId="187" fontId="10" fillId="6" borderId="3" xfId="0" applyNumberFormat="1" applyFont="1" applyFill="1" applyBorder="1" applyAlignment="1">
      <alignment horizontal="center"/>
    </xf>
    <xf numFmtId="0" fontId="10" fillId="6" borderId="4" xfId="0" applyFont="1" applyFill="1" applyBorder="1" applyAlignment="1">
      <alignment horizontal="center"/>
    </xf>
    <xf numFmtId="2" fontId="0" fillId="6" borderId="1" xfId="0" applyNumberFormat="1" applyFill="1" applyBorder="1" applyAlignment="1">
      <alignment horizontal="right"/>
    </xf>
    <xf numFmtId="0" fontId="1" fillId="6" borderId="1" xfId="0" applyFont="1" applyFill="1" applyBorder="1" applyAlignment="1">
      <alignment horizontal="center"/>
    </xf>
    <xf numFmtId="181" fontId="0" fillId="6" borderId="1" xfId="0" applyNumberFormat="1" applyFill="1" applyBorder="1" applyAlignment="1">
      <alignment horizontal="right"/>
    </xf>
    <xf numFmtId="181" fontId="0" fillId="6" borderId="1" xfId="18" applyNumberFormat="1" applyFill="1" applyBorder="1" applyAlignment="1">
      <alignment horizontal="right"/>
    </xf>
    <xf numFmtId="181" fontId="0" fillId="6" borderId="1" xfId="18" applyNumberFormat="1" applyFill="1" applyBorder="1" applyAlignment="1">
      <alignment/>
    </xf>
    <xf numFmtId="0" fontId="10" fillId="6" borderId="1" xfId="0" applyFont="1" applyFill="1" applyBorder="1" applyAlignment="1">
      <alignment horizontal="center"/>
    </xf>
    <xf numFmtId="2" fontId="0" fillId="6" borderId="5" xfId="0" applyNumberFormat="1" applyFill="1" applyBorder="1" applyAlignment="1">
      <alignment horizontal="right"/>
    </xf>
    <xf numFmtId="0" fontId="0" fillId="6" borderId="1" xfId="0" applyFont="1" applyFill="1" applyBorder="1" applyAlignment="1">
      <alignment horizontal="center"/>
    </xf>
    <xf numFmtId="0" fontId="10" fillId="6" borderId="6" xfId="0" applyFont="1" applyFill="1" applyBorder="1" applyAlignment="1">
      <alignment/>
    </xf>
    <xf numFmtId="0" fontId="10" fillId="6" borderId="7" xfId="0" applyFont="1" applyFill="1" applyBorder="1" applyAlignment="1">
      <alignment horizontal="center" wrapText="1"/>
    </xf>
    <xf numFmtId="9" fontId="0" fillId="6" borderId="1" xfId="0" applyNumberFormat="1" applyFill="1" applyBorder="1" applyAlignment="1">
      <alignment horizontal="right"/>
    </xf>
    <xf numFmtId="0" fontId="0" fillId="6" borderId="1" xfId="0" applyFill="1" applyBorder="1" applyAlignment="1">
      <alignment horizontal="center"/>
    </xf>
    <xf numFmtId="0" fontId="10" fillId="6" borderId="8" xfId="0" applyFont="1" applyFill="1" applyBorder="1" applyAlignment="1">
      <alignment horizontal="center"/>
    </xf>
    <xf numFmtId="0" fontId="10" fillId="6" borderId="5" xfId="0" applyFont="1" applyFill="1" applyBorder="1" applyAlignment="1">
      <alignment horizontal="center"/>
    </xf>
    <xf numFmtId="10" fontId="0" fillId="6" borderId="1" xfId="0" applyNumberFormat="1" applyFill="1" applyBorder="1" applyAlignment="1">
      <alignment horizontal="right"/>
    </xf>
    <xf numFmtId="0" fontId="0" fillId="6" borderId="1" xfId="0" applyFill="1" applyBorder="1" applyAlignment="1">
      <alignment horizontal="right"/>
    </xf>
    <xf numFmtId="0" fontId="10" fillId="6" borderId="1" xfId="0" applyFont="1" applyFill="1" applyBorder="1" applyAlignment="1">
      <alignment/>
    </xf>
    <xf numFmtId="0" fontId="10" fillId="6" borderId="1" xfId="0" applyFont="1" applyFill="1" applyBorder="1" applyAlignment="1">
      <alignment horizontal="center" wrapText="1"/>
    </xf>
    <xf numFmtId="0" fontId="0" fillId="6" borderId="1" xfId="0" applyFill="1" applyBorder="1" applyAlignment="1">
      <alignment horizontal="center" wrapText="1"/>
    </xf>
    <xf numFmtId="187" fontId="0" fillId="6" borderId="1" xfId="0" applyNumberFormat="1" applyFill="1" applyBorder="1" applyAlignment="1">
      <alignment horizontal="right"/>
    </xf>
    <xf numFmtId="188" fontId="4" fillId="6" borderId="1" xfId="18" applyNumberFormat="1" applyFont="1" applyFill="1" applyBorder="1" applyAlignment="1">
      <alignment horizontal="right"/>
    </xf>
    <xf numFmtId="14" fontId="2" fillId="6" borderId="1" xfId="0" applyNumberFormat="1" applyFont="1" applyFill="1" applyBorder="1" applyAlignment="1">
      <alignment/>
    </xf>
    <xf numFmtId="0" fontId="2" fillId="3" borderId="1" xfId="0" applyFont="1" applyFill="1" applyBorder="1" applyAlignment="1">
      <alignment wrapText="1"/>
    </xf>
    <xf numFmtId="0" fontId="2" fillId="6" borderId="1" xfId="0" applyFont="1" applyFill="1" applyBorder="1" applyAlignment="1">
      <alignment wrapText="1"/>
    </xf>
    <xf numFmtId="0" fontId="0" fillId="6" borderId="1" xfId="0" applyFill="1" applyBorder="1" applyAlignment="1">
      <alignment/>
    </xf>
    <xf numFmtId="44" fontId="15" fillId="6" borderId="1" xfId="18" applyFont="1" applyFill="1" applyBorder="1" applyAlignment="1">
      <alignment wrapText="1"/>
    </xf>
    <xf numFmtId="43" fontId="0" fillId="0" borderId="0" xfId="0" applyNumberFormat="1" applyFont="1" applyAlignment="1">
      <alignment horizontal="right" vertical="center"/>
    </xf>
    <xf numFmtId="43" fontId="2" fillId="0" borderId="0" xfId="0" applyNumberFormat="1" applyFont="1" applyAlignment="1">
      <alignment horizontal="right" vertical="center"/>
    </xf>
    <xf numFmtId="2" fontId="2" fillId="0" borderId="0" xfId="0" applyNumberFormat="1" applyFont="1" applyAlignment="1">
      <alignment horizontal="right" vertical="center"/>
    </xf>
    <xf numFmtId="191" fontId="0" fillId="0" borderId="0" xfId="0" applyNumberFormat="1" applyFont="1" applyAlignment="1">
      <alignment horizontal="right" vertical="center"/>
    </xf>
    <xf numFmtId="2" fontId="0" fillId="0" borderId="0" xfId="0" applyNumberFormat="1" applyFont="1" applyAlignment="1">
      <alignment horizontal="right" vertical="center"/>
    </xf>
    <xf numFmtId="0" fontId="0" fillId="0" borderId="0" xfId="0" applyAlignment="1">
      <alignment vertical="center"/>
    </xf>
    <xf numFmtId="193" fontId="22" fillId="0" borderId="0" xfId="0" applyNumberFormat="1" applyFont="1" applyAlignment="1">
      <alignment horizontal="right"/>
    </xf>
    <xf numFmtId="194" fontId="23" fillId="3" borderId="1" xfId="0" applyNumberFormat="1" applyFont="1" applyFill="1" applyBorder="1" applyAlignment="1">
      <alignment horizontal="right"/>
    </xf>
    <xf numFmtId="193" fontId="22" fillId="2" borderId="1" xfId="0" applyNumberFormat="1" applyFont="1" applyFill="1" applyBorder="1" applyAlignment="1">
      <alignment horizontal="right"/>
    </xf>
    <xf numFmtId="193" fontId="22" fillId="2" borderId="1" xfId="0" applyNumberFormat="1" applyFont="1" applyFill="1" applyBorder="1" applyAlignment="1">
      <alignment horizontal="center"/>
    </xf>
    <xf numFmtId="193" fontId="22" fillId="0" borderId="0" xfId="0" applyNumberFormat="1" applyFont="1" applyAlignment="1">
      <alignment horizontal="center"/>
    </xf>
    <xf numFmtId="194" fontId="24" fillId="7" borderId="1" xfId="0" applyNumberFormat="1" applyFont="1" applyFill="1" applyBorder="1" applyAlignment="1">
      <alignment horizontal="center"/>
    </xf>
    <xf numFmtId="193" fontId="24" fillId="7" borderId="1" xfId="0" applyNumberFormat="1" applyFont="1" applyFill="1" applyBorder="1" applyAlignment="1">
      <alignment horizontal="center"/>
    </xf>
    <xf numFmtId="194" fontId="22" fillId="8" borderId="1" xfId="0" applyNumberFormat="1" applyFont="1" applyFill="1" applyBorder="1" applyAlignment="1">
      <alignment horizontal="right"/>
    </xf>
    <xf numFmtId="193" fontId="22" fillId="8" borderId="1" xfId="0" applyNumberFormat="1" applyFont="1" applyFill="1" applyBorder="1" applyAlignment="1">
      <alignment horizontal="right"/>
    </xf>
    <xf numFmtId="193" fontId="25" fillId="8" borderId="1" xfId="0" applyNumberFormat="1" applyFont="1" applyFill="1" applyBorder="1" applyAlignment="1">
      <alignment horizontal="right"/>
    </xf>
    <xf numFmtId="194" fontId="22" fillId="0" borderId="0" xfId="0" applyNumberFormat="1" applyFont="1" applyAlignment="1">
      <alignment horizontal="right"/>
    </xf>
    <xf numFmtId="193" fontId="25" fillId="0" borderId="0" xfId="0" applyNumberFormat="1" applyFont="1" applyAlignment="1">
      <alignment horizontal="right"/>
    </xf>
    <xf numFmtId="186" fontId="0" fillId="0" borderId="0" xfId="0" applyNumberFormat="1" applyFont="1" applyAlignment="1">
      <alignment vertical="center"/>
    </xf>
    <xf numFmtId="186" fontId="0" fillId="0" borderId="0" xfId="0" applyNumberFormat="1" applyFont="1" applyAlignment="1">
      <alignment horizontal="right" vertical="center"/>
    </xf>
    <xf numFmtId="43" fontId="0" fillId="0" borderId="0" xfId="20" applyFont="1" applyAlignment="1">
      <alignment vertical="center"/>
    </xf>
    <xf numFmtId="186" fontId="0" fillId="0" borderId="0" xfId="20" applyNumberFormat="1" applyFont="1" applyAlignment="1">
      <alignment vertical="center"/>
    </xf>
    <xf numFmtId="193" fontId="21" fillId="0" borderId="9" xfId="0" applyNumberFormat="1" applyFont="1" applyBorder="1" applyAlignment="1">
      <alignment horizontal="center"/>
    </xf>
    <xf numFmtId="10" fontId="22" fillId="2" borderId="1" xfId="15" applyNumberFormat="1" applyFont="1" applyFill="1" applyBorder="1" applyAlignment="1">
      <alignment horizontal="center"/>
    </xf>
    <xf numFmtId="193" fontId="26" fillId="0" borderId="9" xfId="0" applyNumberFormat="1" applyFont="1" applyBorder="1" applyAlignment="1">
      <alignment horizontal="center"/>
    </xf>
    <xf numFmtId="186" fontId="31" fillId="2" borderId="1" xfId="0" applyNumberFormat="1" applyFont="1" applyFill="1" applyBorder="1" applyAlignment="1">
      <alignment/>
    </xf>
    <xf numFmtId="0" fontId="29" fillId="2" borderId="1" xfId="0" applyFont="1" applyFill="1" applyBorder="1" applyAlignment="1">
      <alignment/>
    </xf>
    <xf numFmtId="0" fontId="32" fillId="2" borderId="1" xfId="0" applyFont="1" applyFill="1" applyBorder="1" applyAlignment="1">
      <alignment/>
    </xf>
    <xf numFmtId="0" fontId="5" fillId="0" borderId="0" xfId="0" applyFont="1" applyFill="1" applyBorder="1" applyAlignment="1">
      <alignment/>
    </xf>
    <xf numFmtId="195" fontId="31" fillId="2" borderId="1" xfId="0" applyNumberFormat="1" applyFont="1" applyFill="1" applyBorder="1" applyAlignment="1">
      <alignment/>
    </xf>
    <xf numFmtId="0" fontId="31" fillId="2" borderId="1" xfId="0" applyFont="1" applyFill="1" applyBorder="1" applyAlignment="1">
      <alignment horizontal="right"/>
    </xf>
    <xf numFmtId="186" fontId="31" fillId="2" borderId="1" xfId="20" applyNumberFormat="1" applyFont="1" applyFill="1" applyBorder="1" applyAlignment="1">
      <alignment/>
    </xf>
    <xf numFmtId="195" fontId="31" fillId="9" borderId="1" xfId="0" applyNumberFormat="1" applyFont="1" applyFill="1" applyBorder="1" applyAlignment="1">
      <alignment/>
    </xf>
    <xf numFmtId="0" fontId="29" fillId="5" borderId="1" xfId="0" applyFont="1" applyFill="1" applyBorder="1" applyAlignment="1">
      <alignment horizontal="center" vertical="center"/>
    </xf>
    <xf numFmtId="0" fontId="29" fillId="10" borderId="1" xfId="0" applyFont="1" applyFill="1" applyBorder="1" applyAlignment="1">
      <alignment/>
    </xf>
    <xf numFmtId="43" fontId="31" fillId="10" borderId="10" xfId="0" applyNumberFormat="1" applyFont="1" applyFill="1" applyBorder="1" applyAlignment="1">
      <alignment/>
    </xf>
    <xf numFmtId="0" fontId="31" fillId="10" borderId="4" xfId="0" applyFont="1" applyFill="1" applyBorder="1" applyAlignment="1">
      <alignment/>
    </xf>
    <xf numFmtId="43" fontId="28" fillId="10" borderId="10" xfId="0" applyNumberFormat="1" applyFont="1" applyFill="1" applyBorder="1" applyAlignment="1">
      <alignment/>
    </xf>
    <xf numFmtId="0" fontId="0" fillId="10" borderId="5" xfId="0" applyFill="1" applyBorder="1" applyAlignment="1">
      <alignment/>
    </xf>
    <xf numFmtId="0" fontId="29" fillId="5" borderId="1" xfId="0" applyFont="1" applyFill="1" applyBorder="1" applyAlignment="1">
      <alignment horizontal="center"/>
    </xf>
    <xf numFmtId="0" fontId="2" fillId="0" borderId="0" xfId="0" applyFont="1" applyAlignment="1">
      <alignment horizontal="center" vertical="center"/>
    </xf>
    <xf numFmtId="186" fontId="31" fillId="2" borderId="11" xfId="20" applyNumberFormat="1" applyFont="1" applyFill="1" applyBorder="1" applyAlignment="1">
      <alignment/>
    </xf>
    <xf numFmtId="0" fontId="5" fillId="0" borderId="0" xfId="0" applyFont="1" applyAlignment="1">
      <alignment/>
    </xf>
    <xf numFmtId="0" fontId="2" fillId="0" borderId="0" xfId="0" applyFont="1" applyFill="1" applyBorder="1" applyAlignment="1">
      <alignment horizontal="center" vertical="center"/>
    </xf>
    <xf numFmtId="0" fontId="0" fillId="0" borderId="0" xfId="0" applyAlignment="1">
      <alignment horizontal="center" vertical="center"/>
    </xf>
    <xf numFmtId="194" fontId="22" fillId="8" borderId="3" xfId="0" applyNumberFormat="1" applyFont="1" applyFill="1" applyBorder="1" applyAlignment="1">
      <alignment horizontal="right" vertical="center"/>
    </xf>
    <xf numFmtId="193" fontId="21" fillId="0" borderId="9" xfId="0" applyNumberFormat="1" applyFont="1" applyBorder="1" applyAlignment="1">
      <alignment horizontal="center"/>
    </xf>
    <xf numFmtId="186" fontId="30" fillId="3" borderId="1" xfId="20" applyNumberFormat="1" applyFont="1" applyFill="1" applyBorder="1" applyAlignment="1">
      <alignment horizontal="center" vertical="center"/>
    </xf>
    <xf numFmtId="0" fontId="29" fillId="3" borderId="1" xfId="0" applyFont="1" applyFill="1" applyBorder="1" applyAlignment="1">
      <alignment horizontal="center" vertical="center"/>
    </xf>
    <xf numFmtId="1" fontId="31" fillId="4" borderId="1" xfId="0" applyNumberFormat="1" applyFont="1" applyFill="1" applyBorder="1" applyAlignment="1">
      <alignment horizontal="center" vertical="center"/>
    </xf>
    <xf numFmtId="186" fontId="31" fillId="2" borderId="1" xfId="0" applyNumberFormat="1" applyFont="1" applyFill="1" applyBorder="1" applyAlignment="1">
      <alignment horizontal="center"/>
    </xf>
    <xf numFmtId="186" fontId="31" fillId="2" borderId="1" xfId="20" applyNumberFormat="1" applyFont="1" applyFill="1" applyBorder="1" applyAlignment="1">
      <alignment horizontal="center" vertical="center"/>
    </xf>
    <xf numFmtId="0" fontId="17" fillId="0" borderId="0" xfId="0" applyFont="1" applyAlignment="1">
      <alignment horizontal="justify"/>
    </xf>
    <xf numFmtId="0" fontId="16" fillId="0" borderId="0" xfId="0" applyFont="1" applyAlignment="1">
      <alignment horizontal="justify"/>
    </xf>
    <xf numFmtId="0" fontId="0" fillId="0" borderId="0" xfId="0" applyAlignment="1">
      <alignment horizontal="justify"/>
    </xf>
    <xf numFmtId="0" fontId="11" fillId="6" borderId="9" xfId="0" applyFont="1" applyFill="1" applyBorder="1" applyAlignment="1">
      <alignment horizontal="center"/>
    </xf>
    <xf numFmtId="0" fontId="0" fillId="6" borderId="10" xfId="0" applyFont="1" applyFill="1" applyBorder="1" applyAlignment="1">
      <alignment horizontal="center" wrapText="1"/>
    </xf>
    <xf numFmtId="0" fontId="0" fillId="6" borderId="12" xfId="0" applyFont="1" applyFill="1" applyBorder="1" applyAlignment="1">
      <alignment horizontal="center" wrapText="1"/>
    </xf>
    <xf numFmtId="0" fontId="0" fillId="6" borderId="5" xfId="0" applyFont="1" applyFill="1" applyBorder="1" applyAlignment="1">
      <alignment horizontal="center" wrapText="1"/>
    </xf>
    <xf numFmtId="0" fontId="10" fillId="6" borderId="2" xfId="0" applyFont="1" applyFill="1" applyBorder="1" applyAlignment="1">
      <alignment horizontal="center" wrapText="1"/>
    </xf>
    <xf numFmtId="0" fontId="10" fillId="6" borderId="6" xfId="0" applyFont="1" applyFill="1" applyBorder="1" applyAlignment="1">
      <alignment horizontal="center" wrapText="1"/>
    </xf>
    <xf numFmtId="181" fontId="0" fillId="6" borderId="1" xfId="18" applyNumberFormat="1" applyFill="1" applyBorder="1" applyAlignment="1">
      <alignment/>
    </xf>
    <xf numFmtId="0" fontId="10" fillId="0" borderId="13" xfId="0" applyFont="1" applyFill="1" applyBorder="1" applyAlignment="1">
      <alignment horizontal="center"/>
    </xf>
    <xf numFmtId="0" fontId="10" fillId="6" borderId="1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5" xfId="0" applyFont="1" applyFill="1" applyBorder="1" applyAlignment="1">
      <alignment horizontal="center" vertical="center" wrapText="1"/>
    </xf>
    <xf numFmtId="181" fontId="0" fillId="6" borderId="11" xfId="18" applyNumberFormat="1" applyFill="1" applyBorder="1" applyAlignment="1">
      <alignment/>
    </xf>
    <xf numFmtId="181" fontId="0" fillId="6" borderId="16" xfId="18" applyNumberFormat="1" applyFill="1" applyBorder="1" applyAlignment="1">
      <alignment/>
    </xf>
    <xf numFmtId="194" fontId="22" fillId="8" borderId="11" xfId="0" applyNumberFormat="1" applyFont="1" applyFill="1" applyBorder="1" applyAlignment="1">
      <alignment horizontal="right" vertical="center"/>
    </xf>
    <xf numFmtId="194" fontId="22" fillId="8" borderId="16" xfId="0" applyNumberFormat="1" applyFont="1" applyFill="1" applyBorder="1" applyAlignment="1">
      <alignment horizontal="right" vertical="center"/>
    </xf>
    <xf numFmtId="194" fontId="0" fillId="2" borderId="10" xfId="0" applyNumberFormat="1" applyFont="1" applyFill="1" applyBorder="1" applyAlignment="1">
      <alignment horizontal="center"/>
    </xf>
    <xf numFmtId="194" fontId="0" fillId="2" borderId="5" xfId="0" applyNumberFormat="1" applyFont="1" applyFill="1" applyBorder="1" applyAlignment="1">
      <alignment horizontal="center"/>
    </xf>
    <xf numFmtId="193" fontId="23" fillId="3" borderId="10" xfId="0" applyNumberFormat="1" applyFont="1" applyFill="1" applyBorder="1" applyAlignment="1">
      <alignment horizontal="right"/>
    </xf>
    <xf numFmtId="193" fontId="23" fillId="3" borderId="5" xfId="0" applyNumberFormat="1" applyFont="1" applyFill="1" applyBorder="1" applyAlignment="1">
      <alignment horizontal="right"/>
    </xf>
    <xf numFmtId="194" fontId="22" fillId="8" borderId="1" xfId="0" applyNumberFormat="1" applyFont="1" applyFill="1" applyBorder="1" applyAlignment="1">
      <alignment horizontal="right" vertical="center"/>
    </xf>
    <xf numFmtId="0" fontId="8" fillId="7" borderId="1" xfId="0" applyFont="1" applyFill="1" applyBorder="1" applyAlignment="1">
      <alignment horizontal="center" vertical="center"/>
    </xf>
    <xf numFmtId="2" fontId="6" fillId="5"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0" fontId="10" fillId="5" borderId="1" xfId="0" applyFont="1" applyFill="1" applyBorder="1" applyAlignment="1">
      <alignment horizontal="center" vertical="center"/>
    </xf>
    <xf numFmtId="0" fontId="7" fillId="4" borderId="1" xfId="0" applyFont="1" applyFill="1" applyBorder="1" applyAlignment="1">
      <alignment horizontal="center" vertical="center"/>
    </xf>
    <xf numFmtId="0" fontId="2" fillId="0" borderId="0" xfId="0" applyFont="1" applyAlignment="1">
      <alignment horizontal="center" vertical="center"/>
    </xf>
    <xf numFmtId="0" fontId="3" fillId="0" borderId="13" xfId="0" applyFont="1" applyBorder="1" applyAlignment="1">
      <alignment vertical="center"/>
    </xf>
    <xf numFmtId="0" fontId="3" fillId="0" borderId="0" xfId="0" applyFont="1" applyAlignment="1">
      <alignment vertical="center"/>
    </xf>
    <xf numFmtId="0" fontId="33" fillId="7" borderId="10" xfId="0" applyFont="1" applyFill="1" applyBorder="1" applyAlignment="1">
      <alignment horizontal="center" vertical="center"/>
    </xf>
    <xf numFmtId="0" fontId="33" fillId="7" borderId="12" xfId="0" applyFont="1" applyFill="1" applyBorder="1" applyAlignment="1">
      <alignment horizontal="center" vertical="center"/>
    </xf>
    <xf numFmtId="0" fontId="33" fillId="7" borderId="5" xfId="0" applyFont="1" applyFill="1" applyBorder="1" applyAlignment="1">
      <alignment horizontal="center" vertical="center"/>
    </xf>
    <xf numFmtId="186" fontId="31" fillId="2" borderId="1" xfId="0" applyNumberFormat="1" applyFont="1" applyFill="1" applyBorder="1" applyAlignment="1">
      <alignment/>
    </xf>
    <xf numFmtId="186" fontId="31" fillId="2" borderId="11" xfId="0" applyNumberFormat="1" applyFont="1" applyFill="1" applyBorder="1" applyAlignment="1">
      <alignment/>
    </xf>
  </cellXfs>
  <cellStyles count="8">
    <cellStyle name="Normal" xfId="0"/>
    <cellStyle name="Percent" xfId="15"/>
    <cellStyle name="Hyperlink" xfId="16"/>
    <cellStyle name="Followed Hyperlink"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2"/>
  <sheetViews>
    <sheetView workbookViewId="0" topLeftCell="A1">
      <selection activeCell="A25" sqref="A25:F25"/>
    </sheetView>
  </sheetViews>
  <sheetFormatPr defaultColWidth="9.00390625" defaultRowHeight="14.25"/>
  <cols>
    <col min="1" max="1" width="12.625" style="0" customWidth="1"/>
    <col min="2" max="2" width="18.375" style="0" customWidth="1"/>
    <col min="4" max="4" width="12.50390625" style="0" customWidth="1"/>
    <col min="5" max="5" width="12.875" style="0" customWidth="1"/>
    <col min="6" max="6" width="10.875" style="0" customWidth="1"/>
    <col min="7" max="7" width="15.50390625" style="0" customWidth="1"/>
  </cols>
  <sheetData>
    <row r="1" spans="1:7" ht="18.75">
      <c r="A1" s="120" t="s">
        <v>41</v>
      </c>
      <c r="B1" s="120"/>
      <c r="C1" s="120"/>
      <c r="D1" s="120"/>
      <c r="E1" s="120"/>
      <c r="F1" s="120"/>
      <c r="G1" s="120"/>
    </row>
    <row r="2" spans="1:7" ht="18.75">
      <c r="A2" s="33" t="s">
        <v>42</v>
      </c>
      <c r="B2" s="34" t="s">
        <v>43</v>
      </c>
      <c r="C2" s="121" t="s">
        <v>44</v>
      </c>
      <c r="D2" s="122"/>
      <c r="E2" s="122"/>
      <c r="F2" s="122"/>
      <c r="G2" s="123"/>
    </row>
    <row r="3" spans="1:7" ht="14.25">
      <c r="A3" s="35"/>
      <c r="B3" s="36" t="s">
        <v>45</v>
      </c>
      <c r="C3" s="36" t="s">
        <v>46</v>
      </c>
      <c r="D3" s="36" t="s">
        <v>47</v>
      </c>
      <c r="E3" s="36" t="s">
        <v>48</v>
      </c>
      <c r="F3" s="37" t="s">
        <v>49</v>
      </c>
      <c r="G3" s="36" t="s">
        <v>50</v>
      </c>
    </row>
    <row r="4" spans="1:7" ht="15">
      <c r="A4" s="124" t="s">
        <v>51</v>
      </c>
      <c r="B4" s="38" t="s">
        <v>52</v>
      </c>
      <c r="C4" s="39">
        <v>0.52</v>
      </c>
      <c r="D4" s="40" t="s">
        <v>53</v>
      </c>
      <c r="E4" s="41">
        <f>E21</f>
        <v>120</v>
      </c>
      <c r="F4" s="42">
        <f>$C4*$E4*12</f>
        <v>748.8000000000001</v>
      </c>
      <c r="G4" s="126">
        <f>SUM($F4:$F7)</f>
        <v>820.8000000000001</v>
      </c>
    </row>
    <row r="5" spans="1:7" ht="14.25">
      <c r="A5" s="125"/>
      <c r="B5" s="44" t="s">
        <v>54</v>
      </c>
      <c r="C5" s="45">
        <v>12</v>
      </c>
      <c r="D5" s="46" t="s">
        <v>55</v>
      </c>
      <c r="E5" s="41">
        <v>1</v>
      </c>
      <c r="F5" s="42">
        <f>$C5*$E5</f>
        <v>12</v>
      </c>
      <c r="G5" s="126"/>
    </row>
    <row r="6" spans="1:7" ht="14.25">
      <c r="A6" s="125"/>
      <c r="B6" s="44" t="s">
        <v>56</v>
      </c>
      <c r="C6" s="45">
        <v>30</v>
      </c>
      <c r="D6" s="46" t="s">
        <v>55</v>
      </c>
      <c r="E6" s="41">
        <v>1</v>
      </c>
      <c r="F6" s="42">
        <f>$C6*$E6</f>
        <v>30</v>
      </c>
      <c r="G6" s="126"/>
    </row>
    <row r="7" spans="1:7" ht="14.25">
      <c r="A7" s="47"/>
      <c r="B7" s="44" t="s">
        <v>57</v>
      </c>
      <c r="C7" s="45">
        <v>30</v>
      </c>
      <c r="D7" s="46" t="s">
        <v>55</v>
      </c>
      <c r="E7" s="41">
        <v>1</v>
      </c>
      <c r="F7" s="42">
        <f>$C7*$E7</f>
        <v>30</v>
      </c>
      <c r="G7" s="126"/>
    </row>
    <row r="8" spans="1:7" ht="16.5" customHeight="1">
      <c r="A8" s="48" t="s">
        <v>58</v>
      </c>
      <c r="B8" s="36" t="s">
        <v>59</v>
      </c>
      <c r="C8" s="49">
        <v>0.02</v>
      </c>
      <c r="D8" s="50" t="s">
        <v>60</v>
      </c>
      <c r="E8" s="41">
        <f>A21</f>
        <v>312000</v>
      </c>
      <c r="F8" s="42">
        <f>$C8*$E8</f>
        <v>6240</v>
      </c>
      <c r="G8" s="43">
        <f>$C8*$E8</f>
        <v>6240</v>
      </c>
    </row>
    <row r="9" spans="1:7" ht="14.25" customHeight="1">
      <c r="A9" s="128" t="s">
        <v>61</v>
      </c>
      <c r="B9" s="44" t="s">
        <v>62</v>
      </c>
      <c r="C9" s="39">
        <v>720</v>
      </c>
      <c r="D9" s="50" t="s">
        <v>63</v>
      </c>
      <c r="E9" s="41">
        <v>1</v>
      </c>
      <c r="F9" s="42">
        <f>$C9*$E9</f>
        <v>720</v>
      </c>
      <c r="G9" s="126">
        <f>SUM($F9:$F13)</f>
        <v>3656</v>
      </c>
    </row>
    <row r="10" spans="1:7" ht="14.25">
      <c r="A10" s="129"/>
      <c r="B10" s="44" t="s">
        <v>64</v>
      </c>
      <c r="C10" s="45">
        <v>300</v>
      </c>
      <c r="D10" s="50" t="s">
        <v>63</v>
      </c>
      <c r="E10" s="41">
        <v>1</v>
      </c>
      <c r="F10" s="42">
        <f>IF(E21&gt;100,$C10*E10+100,$C10*E10)</f>
        <v>400</v>
      </c>
      <c r="G10" s="126"/>
    </row>
    <row r="11" spans="1:7" ht="15.75">
      <c r="A11" s="129"/>
      <c r="B11" s="51" t="s">
        <v>65</v>
      </c>
      <c r="C11" s="39">
        <v>98</v>
      </c>
      <c r="D11" s="50" t="s">
        <v>66</v>
      </c>
      <c r="E11" s="41">
        <v>20</v>
      </c>
      <c r="F11" s="42">
        <f aca="true" t="shared" si="0" ref="F11:F20">$C11*E11</f>
        <v>1960</v>
      </c>
      <c r="G11" s="126"/>
    </row>
    <row r="12" spans="1:7" ht="14.25">
      <c r="A12" s="129"/>
      <c r="B12" s="52" t="s">
        <v>67</v>
      </c>
      <c r="C12" s="39">
        <v>360</v>
      </c>
      <c r="D12" s="50" t="s">
        <v>63</v>
      </c>
      <c r="E12" s="41">
        <v>1</v>
      </c>
      <c r="F12" s="42">
        <f t="shared" si="0"/>
        <v>360</v>
      </c>
      <c r="G12" s="126"/>
    </row>
    <row r="13" spans="1:7" ht="15.75">
      <c r="A13" s="130"/>
      <c r="B13" s="52" t="s">
        <v>68</v>
      </c>
      <c r="C13" s="39">
        <v>216</v>
      </c>
      <c r="D13" s="50" t="s">
        <v>69</v>
      </c>
      <c r="E13" s="41">
        <v>1</v>
      </c>
      <c r="F13" s="42">
        <f t="shared" si="0"/>
        <v>216</v>
      </c>
      <c r="G13" s="126"/>
    </row>
    <row r="14" spans="1:7" ht="14.25" customHeight="1">
      <c r="A14" s="128" t="s">
        <v>70</v>
      </c>
      <c r="B14" s="44" t="s">
        <v>71</v>
      </c>
      <c r="C14" s="39">
        <v>40</v>
      </c>
      <c r="D14" s="50" t="s">
        <v>72</v>
      </c>
      <c r="E14" s="41">
        <v>1</v>
      </c>
      <c r="F14" s="42">
        <f t="shared" si="0"/>
        <v>40</v>
      </c>
      <c r="G14" s="131">
        <f>SUM($F14:$F19)</f>
        <v>4958.2</v>
      </c>
    </row>
    <row r="15" spans="1:7" ht="14.25">
      <c r="A15" s="129"/>
      <c r="B15" s="44" t="s">
        <v>73</v>
      </c>
      <c r="C15" s="39">
        <v>5</v>
      </c>
      <c r="D15" s="50" t="s">
        <v>74</v>
      </c>
      <c r="E15" s="41">
        <v>1</v>
      </c>
      <c r="F15" s="42">
        <f t="shared" si="0"/>
        <v>5</v>
      </c>
      <c r="G15" s="132"/>
    </row>
    <row r="16" spans="1:7" ht="15.75">
      <c r="A16" s="129"/>
      <c r="B16" s="44" t="s">
        <v>75</v>
      </c>
      <c r="C16" s="53">
        <v>0.015</v>
      </c>
      <c r="D16" s="50" t="s">
        <v>74</v>
      </c>
      <c r="E16" s="41">
        <f>A21</f>
        <v>312000</v>
      </c>
      <c r="F16" s="42">
        <f t="shared" si="0"/>
        <v>4680</v>
      </c>
      <c r="G16" s="132"/>
    </row>
    <row r="17" spans="1:7" ht="14.25">
      <c r="A17" s="129"/>
      <c r="B17" s="52" t="s">
        <v>76</v>
      </c>
      <c r="C17" s="53">
        <v>0.0005</v>
      </c>
      <c r="D17" s="50" t="s">
        <v>74</v>
      </c>
      <c r="E17" s="41">
        <f>A21</f>
        <v>312000</v>
      </c>
      <c r="F17" s="42">
        <f t="shared" si="0"/>
        <v>156</v>
      </c>
      <c r="G17" s="132"/>
    </row>
    <row r="18" spans="1:7" ht="14.25">
      <c r="A18" s="129"/>
      <c r="B18" s="52" t="s">
        <v>77</v>
      </c>
      <c r="C18" s="54">
        <v>0.61</v>
      </c>
      <c r="D18" s="50" t="s">
        <v>78</v>
      </c>
      <c r="E18" s="41">
        <f>E21</f>
        <v>120</v>
      </c>
      <c r="F18" s="42">
        <f t="shared" si="0"/>
        <v>73.2</v>
      </c>
      <c r="G18" s="132"/>
    </row>
    <row r="19" spans="1:7" ht="14.25">
      <c r="A19" s="130"/>
      <c r="B19" s="52" t="s">
        <v>79</v>
      </c>
      <c r="C19" s="54">
        <v>4</v>
      </c>
      <c r="D19" s="50" t="s">
        <v>80</v>
      </c>
      <c r="E19" s="41">
        <v>1</v>
      </c>
      <c r="F19" s="42">
        <f t="shared" si="0"/>
        <v>4</v>
      </c>
      <c r="G19" s="132"/>
    </row>
    <row r="20" spans="1:7" ht="19.5" customHeight="1">
      <c r="A20" s="55" t="s">
        <v>74</v>
      </c>
      <c r="B20" s="56" t="s">
        <v>81</v>
      </c>
      <c r="C20" s="49">
        <v>0.1</v>
      </c>
      <c r="D20" s="57" t="s">
        <v>82</v>
      </c>
      <c r="E20" s="58">
        <f>A21-280000</f>
        <v>32000</v>
      </c>
      <c r="F20" s="42">
        <f t="shared" si="0"/>
        <v>3200</v>
      </c>
      <c r="G20" s="43">
        <f>IF(F20&gt;=0,F20,0)</f>
        <v>3200</v>
      </c>
    </row>
    <row r="21" spans="1:7" ht="15.75">
      <c r="A21" s="59">
        <f>C21*E21</f>
        <v>312000</v>
      </c>
      <c r="B21" s="60" t="s">
        <v>83</v>
      </c>
      <c r="C21" s="61">
        <v>2600</v>
      </c>
      <c r="D21" s="62" t="s">
        <v>84</v>
      </c>
      <c r="E21" s="61">
        <v>120</v>
      </c>
      <c r="F21" s="63" t="s">
        <v>85</v>
      </c>
      <c r="G21" s="64">
        <f>SUM(G4:G20)</f>
        <v>18875</v>
      </c>
    </row>
    <row r="22" spans="2:5" ht="14.25">
      <c r="B22" s="127" t="s">
        <v>86</v>
      </c>
      <c r="C22" s="127"/>
      <c r="D22" s="127"/>
      <c r="E22" s="127"/>
    </row>
    <row r="24" spans="1:6" ht="15" customHeight="1">
      <c r="A24" s="118" t="s">
        <v>87</v>
      </c>
      <c r="B24" s="118"/>
      <c r="C24" s="118"/>
      <c r="D24" s="118"/>
      <c r="E24" s="118"/>
      <c r="F24" s="118"/>
    </row>
    <row r="25" spans="1:6" ht="15" customHeight="1">
      <c r="A25" s="117" t="s">
        <v>88</v>
      </c>
      <c r="B25" s="117"/>
      <c r="C25" s="117"/>
      <c r="D25" s="117"/>
      <c r="E25" s="117"/>
      <c r="F25" s="117"/>
    </row>
    <row r="26" spans="1:6" ht="15" customHeight="1">
      <c r="A26" s="118" t="s">
        <v>89</v>
      </c>
      <c r="B26" s="118"/>
      <c r="C26" s="118"/>
      <c r="D26" s="118"/>
      <c r="E26" s="118"/>
      <c r="F26" s="118"/>
    </row>
    <row r="27" spans="1:6" ht="15" customHeight="1">
      <c r="A27" s="117" t="s">
        <v>90</v>
      </c>
      <c r="B27" s="117"/>
      <c r="C27" s="117"/>
      <c r="D27" s="117"/>
      <c r="E27" s="117"/>
      <c r="F27" s="117"/>
    </row>
    <row r="28" spans="1:6" ht="15" customHeight="1">
      <c r="A28" s="117" t="s">
        <v>91</v>
      </c>
      <c r="B28" s="117"/>
      <c r="C28" s="117"/>
      <c r="D28" s="117"/>
      <c r="E28" s="117"/>
      <c r="F28" s="117"/>
    </row>
    <row r="29" spans="1:6" ht="15" customHeight="1">
      <c r="A29" s="117" t="s">
        <v>92</v>
      </c>
      <c r="B29" s="117"/>
      <c r="C29" s="117"/>
      <c r="D29" s="117"/>
      <c r="E29" s="117"/>
      <c r="F29" s="117"/>
    </row>
    <row r="30" spans="1:6" ht="15" customHeight="1">
      <c r="A30" s="117" t="s">
        <v>93</v>
      </c>
      <c r="B30" s="117"/>
      <c r="C30" s="117"/>
      <c r="D30" s="117"/>
      <c r="E30" s="117"/>
      <c r="F30" s="117"/>
    </row>
    <row r="31" spans="1:6" ht="15" customHeight="1">
      <c r="A31" s="117" t="s">
        <v>94</v>
      </c>
      <c r="B31" s="117"/>
      <c r="C31" s="117"/>
      <c r="D31" s="117"/>
      <c r="E31" s="117"/>
      <c r="F31" s="117"/>
    </row>
    <row r="32" spans="1:6" ht="15" customHeight="1">
      <c r="A32" s="119"/>
      <c r="B32" s="119"/>
      <c r="C32" s="119"/>
      <c r="D32" s="119"/>
      <c r="E32" s="119"/>
      <c r="F32" s="119"/>
    </row>
    <row r="33" spans="1:6" ht="15" customHeight="1">
      <c r="A33" s="118" t="s">
        <v>95</v>
      </c>
      <c r="B33" s="118"/>
      <c r="C33" s="118"/>
      <c r="D33" s="118"/>
      <c r="E33" s="118"/>
      <c r="F33" s="118"/>
    </row>
    <row r="34" spans="1:6" ht="15" customHeight="1">
      <c r="A34" s="117" t="s">
        <v>96</v>
      </c>
      <c r="B34" s="117"/>
      <c r="C34" s="117"/>
      <c r="D34" s="117"/>
      <c r="E34" s="117"/>
      <c r="F34" s="117"/>
    </row>
    <row r="35" spans="1:6" ht="15" customHeight="1">
      <c r="A35" s="117" t="s">
        <v>97</v>
      </c>
      <c r="B35" s="117"/>
      <c r="C35" s="117"/>
      <c r="D35" s="117"/>
      <c r="E35" s="117"/>
      <c r="F35" s="117"/>
    </row>
    <row r="36" spans="1:6" ht="15" customHeight="1">
      <c r="A36" s="117" t="s">
        <v>98</v>
      </c>
      <c r="B36" s="117"/>
      <c r="C36" s="117"/>
      <c r="D36" s="117"/>
      <c r="E36" s="117"/>
      <c r="F36" s="117"/>
    </row>
    <row r="37" spans="1:6" ht="15" customHeight="1">
      <c r="A37" s="117" t="s">
        <v>99</v>
      </c>
      <c r="B37" s="117"/>
      <c r="C37" s="117"/>
      <c r="D37" s="117"/>
      <c r="E37" s="117"/>
      <c r="F37" s="117"/>
    </row>
    <row r="38" spans="1:6" ht="15" customHeight="1">
      <c r="A38" s="117" t="s">
        <v>100</v>
      </c>
      <c r="B38" s="117"/>
      <c r="C38" s="117"/>
      <c r="D38" s="117"/>
      <c r="E38" s="117"/>
      <c r="F38" s="117"/>
    </row>
    <row r="39" spans="1:6" ht="15" customHeight="1">
      <c r="A39" s="118" t="s">
        <v>101</v>
      </c>
      <c r="B39" s="118"/>
      <c r="C39" s="118"/>
      <c r="D39" s="118"/>
      <c r="E39" s="118"/>
      <c r="F39" s="118"/>
    </row>
    <row r="40" spans="1:6" ht="15" customHeight="1">
      <c r="A40" s="117" t="s">
        <v>102</v>
      </c>
      <c r="B40" s="117"/>
      <c r="C40" s="117"/>
      <c r="D40" s="117"/>
      <c r="E40" s="117"/>
      <c r="F40" s="117"/>
    </row>
    <row r="41" spans="1:6" ht="15" customHeight="1">
      <c r="A41" s="117" t="s">
        <v>103</v>
      </c>
      <c r="B41" s="117"/>
      <c r="C41" s="117"/>
      <c r="D41" s="117"/>
      <c r="E41" s="117"/>
      <c r="F41" s="117"/>
    </row>
    <row r="42" spans="1:6" ht="15" customHeight="1">
      <c r="A42" s="117" t="s">
        <v>104</v>
      </c>
      <c r="B42" s="117"/>
      <c r="C42" s="117"/>
      <c r="D42" s="117"/>
      <c r="E42" s="117"/>
      <c r="F42" s="117"/>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28">
    <mergeCell ref="B22:E22"/>
    <mergeCell ref="A9:A13"/>
    <mergeCell ref="G9:G13"/>
    <mergeCell ref="A14:A19"/>
    <mergeCell ref="G14:G19"/>
    <mergeCell ref="A1:G1"/>
    <mergeCell ref="C2:G2"/>
    <mergeCell ref="A4:A6"/>
    <mergeCell ref="G4:G7"/>
    <mergeCell ref="A24:F24"/>
    <mergeCell ref="A25:F25"/>
    <mergeCell ref="A26:F26"/>
    <mergeCell ref="A27:F27"/>
    <mergeCell ref="A32:F32"/>
    <mergeCell ref="A33:F33"/>
    <mergeCell ref="A28:F28"/>
    <mergeCell ref="A29:F29"/>
    <mergeCell ref="A30:F30"/>
    <mergeCell ref="A31:F31"/>
    <mergeCell ref="A34:F34"/>
    <mergeCell ref="A35:F35"/>
    <mergeCell ref="A36:F36"/>
    <mergeCell ref="A37:F37"/>
    <mergeCell ref="A42:F42"/>
    <mergeCell ref="A38:F38"/>
    <mergeCell ref="A39:F39"/>
    <mergeCell ref="A40:F40"/>
    <mergeCell ref="A41:F4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56"/>
  <sheetViews>
    <sheetView workbookViewId="0" topLeftCell="A1">
      <pane ySplit="4" topLeftCell="BM5" activePane="bottomLeft" state="frozen"/>
      <selection pane="topLeft" activeCell="A1" sqref="A1"/>
      <selection pane="bottomLeft" activeCell="E63" sqref="E63"/>
    </sheetView>
  </sheetViews>
  <sheetFormatPr defaultColWidth="9.00390625" defaultRowHeight="14.25"/>
  <cols>
    <col min="1" max="1" width="3.375" style="81" customWidth="1"/>
    <col min="2" max="2" width="4.125" style="81" customWidth="1"/>
    <col min="3" max="3" width="11.25390625" style="71" customWidth="1"/>
    <col min="4" max="4" width="8.125" style="71" customWidth="1"/>
    <col min="5" max="5" width="9.375" style="82" customWidth="1"/>
    <col min="6" max="6" width="9.25390625" style="71" customWidth="1"/>
    <col min="7" max="7" width="5.75390625" style="71" customWidth="1"/>
    <col min="8" max="8" width="5.375" style="71" customWidth="1"/>
    <col min="9" max="9" width="8.625" style="71" customWidth="1"/>
    <col min="10" max="10" width="9.50390625" style="71" customWidth="1"/>
    <col min="11" max="11" width="9.875" style="71" customWidth="1"/>
    <col min="12" max="12" width="10.00390625" style="71" customWidth="1"/>
    <col min="13" max="13" width="9.625" style="71" customWidth="1"/>
    <col min="14" max="16384" width="9.00390625" style="71" customWidth="1"/>
  </cols>
  <sheetData>
    <row r="1" spans="1:13" ht="25.5">
      <c r="A1" s="111" t="s">
        <v>114</v>
      </c>
      <c r="B1" s="111"/>
      <c r="C1" s="111"/>
      <c r="D1" s="111"/>
      <c r="E1" s="111"/>
      <c r="F1" s="111"/>
      <c r="G1" s="111"/>
      <c r="H1" s="111"/>
      <c r="I1" s="111"/>
      <c r="J1" s="111"/>
      <c r="K1" s="111"/>
      <c r="L1" s="111"/>
      <c r="M1" s="111"/>
    </row>
    <row r="2" spans="1:13" ht="14.25" customHeight="1">
      <c r="A2" s="87"/>
      <c r="B2" s="87"/>
      <c r="C2" s="87"/>
      <c r="D2" s="87"/>
      <c r="E2" s="87"/>
      <c r="F2" s="87"/>
      <c r="G2" s="87"/>
      <c r="H2" s="87"/>
      <c r="I2" s="87"/>
      <c r="J2" s="89" t="s">
        <v>130</v>
      </c>
      <c r="K2" s="87"/>
      <c r="L2" s="87"/>
      <c r="M2" s="87"/>
    </row>
    <row r="3" spans="1:13" s="75" customFormat="1" ht="21.75" customHeight="1">
      <c r="A3" s="135" t="s">
        <v>115</v>
      </c>
      <c r="B3" s="136"/>
      <c r="C3" s="72">
        <v>21</v>
      </c>
      <c r="D3" s="137">
        <v>1800</v>
      </c>
      <c r="E3" s="138"/>
      <c r="F3" s="73">
        <v>46</v>
      </c>
      <c r="G3" s="73">
        <v>4.41</v>
      </c>
      <c r="H3" s="73">
        <f>G3/1.2</f>
        <v>3.6750000000000003</v>
      </c>
      <c r="I3" s="88"/>
      <c r="J3" s="74"/>
      <c r="K3" s="74"/>
      <c r="L3" s="74"/>
      <c r="M3" s="74"/>
    </row>
    <row r="4" spans="1:13" s="75" customFormat="1" ht="12">
      <c r="A4" s="76" t="s">
        <v>116</v>
      </c>
      <c r="B4" s="76" t="s">
        <v>117</v>
      </c>
      <c r="C4" s="77" t="s">
        <v>118</v>
      </c>
      <c r="D4" s="77" t="s">
        <v>119</v>
      </c>
      <c r="E4" s="77" t="s">
        <v>120</v>
      </c>
      <c r="F4" s="77" t="s">
        <v>121</v>
      </c>
      <c r="G4" s="77" t="s">
        <v>122</v>
      </c>
      <c r="H4" s="77" t="s">
        <v>123</v>
      </c>
      <c r="I4" s="77" t="s">
        <v>124</v>
      </c>
      <c r="J4" s="77" t="s">
        <v>125</v>
      </c>
      <c r="K4" s="77" t="s">
        <v>126</v>
      </c>
      <c r="L4" s="77" t="s">
        <v>127</v>
      </c>
      <c r="M4" s="77" t="s">
        <v>128</v>
      </c>
    </row>
    <row r="5" spans="1:13" ht="12">
      <c r="A5" s="139">
        <v>1</v>
      </c>
      <c r="B5" s="78">
        <v>1</v>
      </c>
      <c r="C5" s="79">
        <f>10000*C3</f>
        <v>210000</v>
      </c>
      <c r="D5" s="79">
        <f>D3</f>
        <v>1800</v>
      </c>
      <c r="E5" s="80">
        <v>1800</v>
      </c>
      <c r="F5" s="79">
        <f>F3*C5/10000</f>
        <v>966</v>
      </c>
      <c r="G5" s="79">
        <f>G3</f>
        <v>4.41</v>
      </c>
      <c r="H5" s="79">
        <f>H3</f>
        <v>3.6750000000000003</v>
      </c>
      <c r="I5" s="79">
        <f aca="true" t="shared" si="0" ref="I5:I68">C5*H5/1000</f>
        <v>771.75</v>
      </c>
      <c r="J5" s="79">
        <f aca="true" t="shared" si="1" ref="J5:J68">IF(C5&lt;=0,"还完了",E5-I5)</f>
        <v>1028.25</v>
      </c>
      <c r="K5" s="79">
        <f aca="true" t="shared" si="2" ref="K5:K68">IF(C5&lt;=0,"还完了",E5+C6)</f>
        <v>210771.75</v>
      </c>
      <c r="L5" s="79">
        <f>IF(C5&lt;=0,"还完了",SUM(E4:E$5)+K5)</f>
        <v>212571.75</v>
      </c>
      <c r="M5" s="79">
        <f aca="true" t="shared" si="3" ref="M5:M68">IF(C5&lt;=0,"还完了",L5-C$5)</f>
        <v>2571.75</v>
      </c>
    </row>
    <row r="6" spans="1:13" ht="12">
      <c r="A6" s="139"/>
      <c r="B6" s="78">
        <v>2</v>
      </c>
      <c r="C6" s="79">
        <f aca="true" t="shared" si="4" ref="C6:C69">IF(C5&gt;0,C5-J5,0)</f>
        <v>208971.75</v>
      </c>
      <c r="D6" s="79">
        <f aca="true" t="shared" si="5" ref="D6:D69">D5</f>
        <v>1800</v>
      </c>
      <c r="E6" s="80">
        <v>1800</v>
      </c>
      <c r="F6" s="79">
        <f aca="true" t="shared" si="6" ref="F6:F69">F5</f>
        <v>966</v>
      </c>
      <c r="G6" s="79">
        <f>G5</f>
        <v>4.41</v>
      </c>
      <c r="H6" s="79">
        <f aca="true" t="shared" si="7" ref="H6:H69">G6/1.2</f>
        <v>3.6750000000000003</v>
      </c>
      <c r="I6" s="79">
        <f t="shared" si="0"/>
        <v>767.97118125</v>
      </c>
      <c r="J6" s="79">
        <f t="shared" si="1"/>
        <v>1032.02881875</v>
      </c>
      <c r="K6" s="79">
        <f t="shared" si="2"/>
        <v>209739.72118125</v>
      </c>
      <c r="L6" s="79">
        <f>IF(C6&lt;=0,"还完了",SUM(E$5:E5)+K6)</f>
        <v>211539.72118125</v>
      </c>
      <c r="M6" s="79">
        <f t="shared" si="3"/>
        <v>1539.7211812500027</v>
      </c>
    </row>
    <row r="7" spans="1:13" ht="12">
      <c r="A7" s="139"/>
      <c r="B7" s="78">
        <v>3</v>
      </c>
      <c r="C7" s="79">
        <f t="shared" si="4"/>
        <v>207939.72118125</v>
      </c>
      <c r="D7" s="79">
        <f t="shared" si="5"/>
        <v>1800</v>
      </c>
      <c r="E7" s="80">
        <v>1800</v>
      </c>
      <c r="F7" s="79">
        <f t="shared" si="6"/>
        <v>966</v>
      </c>
      <c r="G7" s="79">
        <f>G6</f>
        <v>4.41</v>
      </c>
      <c r="H7" s="79">
        <f t="shared" si="7"/>
        <v>3.6750000000000003</v>
      </c>
      <c r="I7" s="79">
        <f t="shared" si="0"/>
        <v>764.1784753410939</v>
      </c>
      <c r="J7" s="79">
        <f t="shared" si="1"/>
        <v>1035.8215246589061</v>
      </c>
      <c r="K7" s="79">
        <f t="shared" si="2"/>
        <v>208703.8996565911</v>
      </c>
      <c r="L7" s="79">
        <f>IF(C7&lt;=0,"还完了",SUM(E$5:E6)+K7)</f>
        <v>212303.8996565911</v>
      </c>
      <c r="M7" s="79">
        <f t="shared" si="3"/>
        <v>2303.899656591093</v>
      </c>
    </row>
    <row r="8" spans="1:13" ht="12">
      <c r="A8" s="139"/>
      <c r="B8" s="78">
        <v>4</v>
      </c>
      <c r="C8" s="79">
        <f t="shared" si="4"/>
        <v>206903.8996565911</v>
      </c>
      <c r="D8" s="79">
        <f t="shared" si="5"/>
        <v>1800</v>
      </c>
      <c r="E8" s="80">
        <v>1800</v>
      </c>
      <c r="F8" s="79">
        <f t="shared" si="6"/>
        <v>966</v>
      </c>
      <c r="G8" s="79">
        <f aca="true" t="shared" si="8" ref="G8:G71">G7</f>
        <v>4.41</v>
      </c>
      <c r="H8" s="79">
        <f t="shared" si="7"/>
        <v>3.6750000000000003</v>
      </c>
      <c r="I8" s="79">
        <f t="shared" si="0"/>
        <v>760.3718312379724</v>
      </c>
      <c r="J8" s="79">
        <f t="shared" si="1"/>
        <v>1039.6281687620276</v>
      </c>
      <c r="K8" s="79">
        <f t="shared" si="2"/>
        <v>207664.27148782907</v>
      </c>
      <c r="L8" s="79">
        <f>IF(C8&lt;=0,"还完了",SUM(E$5:E7)+K8)</f>
        <v>213064.27148782907</v>
      </c>
      <c r="M8" s="79">
        <f t="shared" si="3"/>
        <v>3064.2714878290717</v>
      </c>
    </row>
    <row r="9" spans="1:13" ht="12">
      <c r="A9" s="139"/>
      <c r="B9" s="78">
        <v>5</v>
      </c>
      <c r="C9" s="79">
        <f t="shared" si="4"/>
        <v>205864.27148782907</v>
      </c>
      <c r="D9" s="79">
        <f t="shared" si="5"/>
        <v>1800</v>
      </c>
      <c r="E9" s="80">
        <v>1800</v>
      </c>
      <c r="F9" s="79">
        <f t="shared" si="6"/>
        <v>966</v>
      </c>
      <c r="G9" s="79">
        <f t="shared" si="8"/>
        <v>4.41</v>
      </c>
      <c r="H9" s="79">
        <f t="shared" si="7"/>
        <v>3.6750000000000003</v>
      </c>
      <c r="I9" s="79">
        <f t="shared" si="0"/>
        <v>756.5511977177719</v>
      </c>
      <c r="J9" s="79">
        <f t="shared" si="1"/>
        <v>1043.4488022822281</v>
      </c>
      <c r="K9" s="79">
        <f t="shared" si="2"/>
        <v>206620.82268554685</v>
      </c>
      <c r="L9" s="79">
        <f>IF(C9&lt;=0,"还完了",SUM(E$5:E8)+K9)</f>
        <v>213820.82268554685</v>
      </c>
      <c r="M9" s="79">
        <f t="shared" si="3"/>
        <v>3820.822685546853</v>
      </c>
    </row>
    <row r="10" spans="1:13" ht="12">
      <c r="A10" s="139"/>
      <c r="B10" s="78">
        <v>6</v>
      </c>
      <c r="C10" s="79">
        <f t="shared" si="4"/>
        <v>204820.82268554685</v>
      </c>
      <c r="D10" s="79">
        <f t="shared" si="5"/>
        <v>1800</v>
      </c>
      <c r="E10" s="80">
        <f aca="true" t="shared" si="9" ref="E10:E73">IF(C10&lt;=0,"还完了",D10)</f>
        <v>1800</v>
      </c>
      <c r="F10" s="79">
        <f t="shared" si="6"/>
        <v>966</v>
      </c>
      <c r="G10" s="79">
        <f t="shared" si="8"/>
        <v>4.41</v>
      </c>
      <c r="H10" s="79">
        <f t="shared" si="7"/>
        <v>3.6750000000000003</v>
      </c>
      <c r="I10" s="79">
        <f t="shared" si="0"/>
        <v>752.7165233693847</v>
      </c>
      <c r="J10" s="79">
        <f t="shared" si="1"/>
        <v>1047.2834766306153</v>
      </c>
      <c r="K10" s="79">
        <f t="shared" si="2"/>
        <v>205573.53920891625</v>
      </c>
      <c r="L10" s="79">
        <f>IF(C10&lt;=0,"还完了",SUM(E$5:E9)+K10)</f>
        <v>214573.53920891625</v>
      </c>
      <c r="M10" s="79">
        <f t="shared" si="3"/>
        <v>4573.539208916249</v>
      </c>
    </row>
    <row r="11" spans="1:13" ht="12">
      <c r="A11" s="139"/>
      <c r="B11" s="78">
        <v>7</v>
      </c>
      <c r="C11" s="79">
        <f t="shared" si="4"/>
        <v>203773.53920891625</v>
      </c>
      <c r="D11" s="79">
        <f t="shared" si="5"/>
        <v>1800</v>
      </c>
      <c r="E11" s="80">
        <f t="shared" si="9"/>
        <v>1800</v>
      </c>
      <c r="F11" s="79">
        <f t="shared" si="6"/>
        <v>966</v>
      </c>
      <c r="G11" s="79">
        <f t="shared" si="8"/>
        <v>4.41</v>
      </c>
      <c r="H11" s="79">
        <f t="shared" si="7"/>
        <v>3.6750000000000003</v>
      </c>
      <c r="I11" s="79">
        <f t="shared" si="0"/>
        <v>748.8677565927674</v>
      </c>
      <c r="J11" s="79">
        <f t="shared" si="1"/>
        <v>1051.1322434072326</v>
      </c>
      <c r="K11" s="79">
        <f t="shared" si="2"/>
        <v>204522.40696550903</v>
      </c>
      <c r="L11" s="79">
        <f>IF(C11&lt;=0,"还完了",SUM(E$5:E10)+K11)</f>
        <v>215322.40696550903</v>
      </c>
      <c r="M11" s="79">
        <f t="shared" si="3"/>
        <v>5322.406965509028</v>
      </c>
    </row>
    <row r="12" spans="1:13" ht="12">
      <c r="A12" s="139"/>
      <c r="B12" s="78">
        <v>8</v>
      </c>
      <c r="C12" s="79">
        <f t="shared" si="4"/>
        <v>202722.40696550903</v>
      </c>
      <c r="D12" s="79">
        <f t="shared" si="5"/>
        <v>1800</v>
      </c>
      <c r="E12" s="80">
        <f t="shared" si="9"/>
        <v>1800</v>
      </c>
      <c r="F12" s="79">
        <f t="shared" si="6"/>
        <v>966</v>
      </c>
      <c r="G12" s="79">
        <f t="shared" si="8"/>
        <v>4.41</v>
      </c>
      <c r="H12" s="79">
        <f t="shared" si="7"/>
        <v>3.6750000000000003</v>
      </c>
      <c r="I12" s="79">
        <f t="shared" si="0"/>
        <v>745.0048455982458</v>
      </c>
      <c r="J12" s="79">
        <f t="shared" si="1"/>
        <v>1054.9951544017542</v>
      </c>
      <c r="K12" s="79">
        <f t="shared" si="2"/>
        <v>203467.41181110727</v>
      </c>
      <c r="L12" s="79">
        <f>IF(C12&lt;=0,"还完了",SUM(E$5:E11)+K12)</f>
        <v>216067.41181110727</v>
      </c>
      <c r="M12" s="79">
        <f t="shared" si="3"/>
        <v>6067.411811107275</v>
      </c>
    </row>
    <row r="13" spans="1:13" ht="12">
      <c r="A13" s="139"/>
      <c r="B13" s="78">
        <v>9</v>
      </c>
      <c r="C13" s="79">
        <f t="shared" si="4"/>
        <v>201667.41181110727</v>
      </c>
      <c r="D13" s="79">
        <f t="shared" si="5"/>
        <v>1800</v>
      </c>
      <c r="E13" s="80">
        <f t="shared" si="9"/>
        <v>1800</v>
      </c>
      <c r="F13" s="79">
        <f t="shared" si="6"/>
        <v>966</v>
      </c>
      <c r="G13" s="79">
        <f t="shared" si="8"/>
        <v>4.41</v>
      </c>
      <c r="H13" s="79">
        <f t="shared" si="7"/>
        <v>3.6750000000000003</v>
      </c>
      <c r="I13" s="79">
        <f t="shared" si="0"/>
        <v>741.1277384058193</v>
      </c>
      <c r="J13" s="79">
        <f t="shared" si="1"/>
        <v>1058.8722615941806</v>
      </c>
      <c r="K13" s="79">
        <f t="shared" si="2"/>
        <v>202408.53954951308</v>
      </c>
      <c r="L13" s="79">
        <f>IF(C13&lt;=0,"还完了",SUM(E$5:E12)+K13)</f>
        <v>216808.53954951308</v>
      </c>
      <c r="M13" s="79">
        <f t="shared" si="3"/>
        <v>6808.53954951308</v>
      </c>
    </row>
    <row r="14" spans="1:13" ht="12">
      <c r="A14" s="139"/>
      <c r="B14" s="78">
        <v>10</v>
      </c>
      <c r="C14" s="79">
        <f t="shared" si="4"/>
        <v>200608.53954951308</v>
      </c>
      <c r="D14" s="79">
        <f t="shared" si="5"/>
        <v>1800</v>
      </c>
      <c r="E14" s="80">
        <f t="shared" si="9"/>
        <v>1800</v>
      </c>
      <c r="F14" s="79">
        <f t="shared" si="6"/>
        <v>966</v>
      </c>
      <c r="G14" s="79">
        <f t="shared" si="8"/>
        <v>4.41</v>
      </c>
      <c r="H14" s="79">
        <f t="shared" si="7"/>
        <v>3.6750000000000003</v>
      </c>
      <c r="I14" s="79">
        <f t="shared" si="0"/>
        <v>737.2363828444606</v>
      </c>
      <c r="J14" s="79">
        <f t="shared" si="1"/>
        <v>1062.7636171555394</v>
      </c>
      <c r="K14" s="79">
        <f t="shared" si="2"/>
        <v>201345.77593235753</v>
      </c>
      <c r="L14" s="79">
        <f>IF(C14&lt;=0,"还完了",SUM(E$5:E13)+K14)</f>
        <v>217545.77593235753</v>
      </c>
      <c r="M14" s="79">
        <f t="shared" si="3"/>
        <v>7545.77593235753</v>
      </c>
    </row>
    <row r="15" spans="1:13" ht="12">
      <c r="A15" s="139"/>
      <c r="B15" s="78">
        <v>11</v>
      </c>
      <c r="C15" s="79">
        <f t="shared" si="4"/>
        <v>199545.77593235753</v>
      </c>
      <c r="D15" s="79">
        <f t="shared" si="5"/>
        <v>1800</v>
      </c>
      <c r="E15" s="80">
        <f t="shared" si="9"/>
        <v>1800</v>
      </c>
      <c r="F15" s="79">
        <f t="shared" si="6"/>
        <v>966</v>
      </c>
      <c r="G15" s="79">
        <f t="shared" si="8"/>
        <v>4.41</v>
      </c>
      <c r="H15" s="79">
        <f t="shared" si="7"/>
        <v>3.6750000000000003</v>
      </c>
      <c r="I15" s="79">
        <f t="shared" si="0"/>
        <v>733.330726551414</v>
      </c>
      <c r="J15" s="79">
        <f t="shared" si="1"/>
        <v>1066.669273448586</v>
      </c>
      <c r="K15" s="79">
        <f t="shared" si="2"/>
        <v>200279.10665890895</v>
      </c>
      <c r="L15" s="79">
        <f>IF(C15&lt;=0,"还完了",SUM(E$5:E14)+K15)</f>
        <v>218279.10665890895</v>
      </c>
      <c r="M15" s="79">
        <f t="shared" si="3"/>
        <v>8279.106658908946</v>
      </c>
    </row>
    <row r="16" spans="1:13" ht="12">
      <c r="A16" s="139"/>
      <c r="B16" s="78">
        <v>12</v>
      </c>
      <c r="C16" s="79">
        <f t="shared" si="4"/>
        <v>198479.10665890895</v>
      </c>
      <c r="D16" s="79">
        <f t="shared" si="5"/>
        <v>1800</v>
      </c>
      <c r="E16" s="80">
        <f t="shared" si="9"/>
        <v>1800</v>
      </c>
      <c r="F16" s="79">
        <f t="shared" si="6"/>
        <v>966</v>
      </c>
      <c r="G16" s="79">
        <f t="shared" si="8"/>
        <v>4.41</v>
      </c>
      <c r="H16" s="79">
        <f t="shared" si="7"/>
        <v>3.6750000000000003</v>
      </c>
      <c r="I16" s="79">
        <f t="shared" si="0"/>
        <v>729.4107169714904</v>
      </c>
      <c r="J16" s="79">
        <f t="shared" si="1"/>
        <v>1070.5892830285097</v>
      </c>
      <c r="K16" s="79">
        <f t="shared" si="2"/>
        <v>199208.51737588044</v>
      </c>
      <c r="L16" s="79">
        <f>IF(C16&lt;=0,"还完了",SUM(E$5:E15)+K16)</f>
        <v>219008.51737588044</v>
      </c>
      <c r="M16" s="79">
        <f t="shared" si="3"/>
        <v>9008.517375880445</v>
      </c>
    </row>
    <row r="17" spans="1:13" ht="12">
      <c r="A17" s="139">
        <v>2</v>
      </c>
      <c r="B17" s="78">
        <v>13</v>
      </c>
      <c r="C17" s="79">
        <f t="shared" si="4"/>
        <v>197408.51737588044</v>
      </c>
      <c r="D17" s="79">
        <f t="shared" si="5"/>
        <v>1800</v>
      </c>
      <c r="E17" s="80">
        <f t="shared" si="9"/>
        <v>1800</v>
      </c>
      <c r="F17" s="79">
        <f t="shared" si="6"/>
        <v>966</v>
      </c>
      <c r="G17" s="79">
        <f t="shared" si="8"/>
        <v>4.41</v>
      </c>
      <c r="H17" s="79">
        <f t="shared" si="7"/>
        <v>3.6750000000000003</v>
      </c>
      <c r="I17" s="79">
        <f t="shared" si="0"/>
        <v>725.4763013563606</v>
      </c>
      <c r="J17" s="79">
        <f t="shared" si="1"/>
        <v>1074.5236986436394</v>
      </c>
      <c r="K17" s="79">
        <f t="shared" si="2"/>
        <v>198133.9936772368</v>
      </c>
      <c r="L17" s="79">
        <f>IF(C17&lt;=0,"还完了",SUM(E$5:E16)+K17)</f>
        <v>219733.9936772368</v>
      </c>
      <c r="M17" s="79">
        <f t="shared" si="3"/>
        <v>9733.99367723681</v>
      </c>
    </row>
    <row r="18" spans="1:13" ht="12">
      <c r="A18" s="139"/>
      <c r="B18" s="78">
        <v>14</v>
      </c>
      <c r="C18" s="79">
        <f t="shared" si="4"/>
        <v>196333.9936772368</v>
      </c>
      <c r="D18" s="79">
        <f t="shared" si="5"/>
        <v>1800</v>
      </c>
      <c r="E18" s="80">
        <f t="shared" si="9"/>
        <v>1800</v>
      </c>
      <c r="F18" s="79">
        <f t="shared" si="6"/>
        <v>966</v>
      </c>
      <c r="G18" s="79">
        <f t="shared" si="8"/>
        <v>4.41</v>
      </c>
      <c r="H18" s="79">
        <f t="shared" si="7"/>
        <v>3.6750000000000003</v>
      </c>
      <c r="I18" s="79">
        <f t="shared" si="0"/>
        <v>721.5274267638454</v>
      </c>
      <c r="J18" s="79">
        <f t="shared" si="1"/>
        <v>1078.4725732361546</v>
      </c>
      <c r="K18" s="79">
        <f t="shared" si="2"/>
        <v>197055.52110400065</v>
      </c>
      <c r="L18" s="79">
        <f>IF(C18&lt;=0,"还完了",SUM(E$5:E17)+K18)</f>
        <v>220455.52110400065</v>
      </c>
      <c r="M18" s="79">
        <f t="shared" si="3"/>
        <v>10455.521104000654</v>
      </c>
    </row>
    <row r="19" spans="1:13" ht="12">
      <c r="A19" s="139"/>
      <c r="B19" s="78">
        <v>15</v>
      </c>
      <c r="C19" s="79">
        <f t="shared" si="4"/>
        <v>195255.52110400065</v>
      </c>
      <c r="D19" s="79">
        <f t="shared" si="5"/>
        <v>1800</v>
      </c>
      <c r="E19" s="80">
        <f t="shared" si="9"/>
        <v>1800</v>
      </c>
      <c r="F19" s="79">
        <f t="shared" si="6"/>
        <v>966</v>
      </c>
      <c r="G19" s="79">
        <f t="shared" si="8"/>
        <v>4.41</v>
      </c>
      <c r="H19" s="79">
        <f t="shared" si="7"/>
        <v>3.6750000000000003</v>
      </c>
      <c r="I19" s="79">
        <f t="shared" si="0"/>
        <v>717.5640400572024</v>
      </c>
      <c r="J19" s="79">
        <f t="shared" si="1"/>
        <v>1082.4359599427976</v>
      </c>
      <c r="K19" s="79">
        <f t="shared" si="2"/>
        <v>195973.08514405787</v>
      </c>
      <c r="L19" s="79">
        <f>IF(C19&lt;=0,"还完了",SUM(E$5:E18)+K19)</f>
        <v>221173.08514405787</v>
      </c>
      <c r="M19" s="79">
        <f t="shared" si="3"/>
        <v>11173.08514405787</v>
      </c>
    </row>
    <row r="20" spans="1:13" ht="12">
      <c r="A20" s="139"/>
      <c r="B20" s="78">
        <v>16</v>
      </c>
      <c r="C20" s="79">
        <f t="shared" si="4"/>
        <v>194173.08514405787</v>
      </c>
      <c r="D20" s="79">
        <f t="shared" si="5"/>
        <v>1800</v>
      </c>
      <c r="E20" s="80">
        <f t="shared" si="9"/>
        <v>1800</v>
      </c>
      <c r="F20" s="79">
        <f t="shared" si="6"/>
        <v>966</v>
      </c>
      <c r="G20" s="79">
        <f t="shared" si="8"/>
        <v>4.41</v>
      </c>
      <c r="H20" s="79">
        <f t="shared" si="7"/>
        <v>3.6750000000000003</v>
      </c>
      <c r="I20" s="79">
        <f t="shared" si="0"/>
        <v>713.5860879044128</v>
      </c>
      <c r="J20" s="79">
        <f t="shared" si="1"/>
        <v>1086.4139120955872</v>
      </c>
      <c r="K20" s="79">
        <f t="shared" si="2"/>
        <v>194886.67123196227</v>
      </c>
      <c r="L20" s="79">
        <f>IF(C20&lt;=0,"还完了",SUM(E$5:E19)+K20)</f>
        <v>221886.67123196227</v>
      </c>
      <c r="M20" s="79">
        <f t="shared" si="3"/>
        <v>11886.671231962275</v>
      </c>
    </row>
    <row r="21" spans="1:13" ht="12">
      <c r="A21" s="139"/>
      <c r="B21" s="78">
        <v>17</v>
      </c>
      <c r="C21" s="79">
        <f t="shared" si="4"/>
        <v>193086.67123196227</v>
      </c>
      <c r="D21" s="79">
        <f t="shared" si="5"/>
        <v>1800</v>
      </c>
      <c r="E21" s="80">
        <f t="shared" si="9"/>
        <v>1800</v>
      </c>
      <c r="F21" s="79">
        <f t="shared" si="6"/>
        <v>966</v>
      </c>
      <c r="G21" s="79">
        <f t="shared" si="8"/>
        <v>4.41</v>
      </c>
      <c r="H21" s="79">
        <f t="shared" si="7"/>
        <v>3.6750000000000003</v>
      </c>
      <c r="I21" s="79">
        <f t="shared" si="0"/>
        <v>709.5935167774614</v>
      </c>
      <c r="J21" s="79">
        <f t="shared" si="1"/>
        <v>1090.4064832225386</v>
      </c>
      <c r="K21" s="79">
        <f t="shared" si="2"/>
        <v>193796.26474873975</v>
      </c>
      <c r="L21" s="79">
        <f>IF(C21&lt;=0,"还完了",SUM(E$5:E20)+K21)</f>
        <v>222596.26474873975</v>
      </c>
      <c r="M21" s="79">
        <f t="shared" si="3"/>
        <v>12596.264748739748</v>
      </c>
    </row>
    <row r="22" spans="1:13" ht="12">
      <c r="A22" s="139"/>
      <c r="B22" s="78">
        <v>18</v>
      </c>
      <c r="C22" s="79">
        <f t="shared" si="4"/>
        <v>191996.26474873975</v>
      </c>
      <c r="D22" s="79">
        <f t="shared" si="5"/>
        <v>1800</v>
      </c>
      <c r="E22" s="80">
        <f t="shared" si="9"/>
        <v>1800</v>
      </c>
      <c r="F22" s="79">
        <f t="shared" si="6"/>
        <v>966</v>
      </c>
      <c r="G22" s="79">
        <f t="shared" si="8"/>
        <v>4.41</v>
      </c>
      <c r="H22" s="79">
        <f t="shared" si="7"/>
        <v>3.6750000000000003</v>
      </c>
      <c r="I22" s="79">
        <f t="shared" si="0"/>
        <v>705.5862729516186</v>
      </c>
      <c r="J22" s="79">
        <f t="shared" si="1"/>
        <v>1094.4137270483814</v>
      </c>
      <c r="K22" s="79">
        <f t="shared" si="2"/>
        <v>192701.85102169137</v>
      </c>
      <c r="L22" s="79">
        <f>IF(C22&lt;=0,"还完了",SUM(E$5:E21)+K22)</f>
        <v>223301.85102169137</v>
      </c>
      <c r="M22" s="79">
        <f t="shared" si="3"/>
        <v>13301.851021691371</v>
      </c>
    </row>
    <row r="23" spans="1:13" ht="12">
      <c r="A23" s="139"/>
      <c r="B23" s="78">
        <v>19</v>
      </c>
      <c r="C23" s="79">
        <f t="shared" si="4"/>
        <v>190901.85102169137</v>
      </c>
      <c r="D23" s="79">
        <f t="shared" si="5"/>
        <v>1800</v>
      </c>
      <c r="E23" s="80">
        <f t="shared" si="9"/>
        <v>1800</v>
      </c>
      <c r="F23" s="79">
        <f t="shared" si="6"/>
        <v>966</v>
      </c>
      <c r="G23" s="79">
        <f t="shared" si="8"/>
        <v>4.41</v>
      </c>
      <c r="H23" s="79">
        <f t="shared" si="7"/>
        <v>3.6750000000000003</v>
      </c>
      <c r="I23" s="79">
        <f t="shared" si="0"/>
        <v>701.5643025047159</v>
      </c>
      <c r="J23" s="79">
        <f t="shared" si="1"/>
        <v>1098.435697495284</v>
      </c>
      <c r="K23" s="79">
        <f t="shared" si="2"/>
        <v>191603.41532419607</v>
      </c>
      <c r="L23" s="79">
        <f>IF(C23&lt;=0,"还完了",SUM(E$5:E22)+K23)</f>
        <v>224003.41532419607</v>
      </c>
      <c r="M23" s="79">
        <f t="shared" si="3"/>
        <v>14003.415324196074</v>
      </c>
    </row>
    <row r="24" spans="1:13" ht="12">
      <c r="A24" s="139"/>
      <c r="B24" s="78">
        <v>20</v>
      </c>
      <c r="C24" s="79">
        <f t="shared" si="4"/>
        <v>189803.41532419607</v>
      </c>
      <c r="D24" s="79">
        <f t="shared" si="5"/>
        <v>1800</v>
      </c>
      <c r="E24" s="80">
        <f t="shared" si="9"/>
        <v>1800</v>
      </c>
      <c r="F24" s="79">
        <f t="shared" si="6"/>
        <v>966</v>
      </c>
      <c r="G24" s="79">
        <f t="shared" si="8"/>
        <v>4.41</v>
      </c>
      <c r="H24" s="79">
        <f t="shared" si="7"/>
        <v>3.6750000000000003</v>
      </c>
      <c r="I24" s="79">
        <f t="shared" si="0"/>
        <v>697.5275513164206</v>
      </c>
      <c r="J24" s="79">
        <f t="shared" si="1"/>
        <v>1102.4724486835794</v>
      </c>
      <c r="K24" s="79">
        <f t="shared" si="2"/>
        <v>190500.9428755125</v>
      </c>
      <c r="L24" s="79">
        <f>IF(C24&lt;=0,"还完了",SUM(E$5:E23)+K24)</f>
        <v>224700.9428755125</v>
      </c>
      <c r="M24" s="79">
        <f t="shared" si="3"/>
        <v>14700.942875512497</v>
      </c>
    </row>
    <row r="25" spans="1:13" ht="12">
      <c r="A25" s="139"/>
      <c r="B25" s="78">
        <v>21</v>
      </c>
      <c r="C25" s="79">
        <f t="shared" si="4"/>
        <v>188700.9428755125</v>
      </c>
      <c r="D25" s="79">
        <f t="shared" si="5"/>
        <v>1800</v>
      </c>
      <c r="E25" s="80">
        <f t="shared" si="9"/>
        <v>1800</v>
      </c>
      <c r="F25" s="79">
        <f t="shared" si="6"/>
        <v>966</v>
      </c>
      <c r="G25" s="79">
        <f t="shared" si="8"/>
        <v>4.41</v>
      </c>
      <c r="H25" s="79">
        <f t="shared" si="7"/>
        <v>3.6750000000000003</v>
      </c>
      <c r="I25" s="79">
        <f t="shared" si="0"/>
        <v>693.4759650675085</v>
      </c>
      <c r="J25" s="79">
        <f t="shared" si="1"/>
        <v>1106.5240349324915</v>
      </c>
      <c r="K25" s="79">
        <f t="shared" si="2"/>
        <v>189394.41884058</v>
      </c>
      <c r="L25" s="79">
        <f>IF(C25&lt;=0,"还完了",SUM(E$5:E24)+K25)</f>
        <v>225394.41884058</v>
      </c>
      <c r="M25" s="79">
        <f t="shared" si="3"/>
        <v>15394.418840580009</v>
      </c>
    </row>
    <row r="26" spans="1:13" ht="12">
      <c r="A26" s="139"/>
      <c r="B26" s="78">
        <v>22</v>
      </c>
      <c r="C26" s="79">
        <f t="shared" si="4"/>
        <v>187594.41884058</v>
      </c>
      <c r="D26" s="79">
        <f t="shared" si="5"/>
        <v>1800</v>
      </c>
      <c r="E26" s="80">
        <f t="shared" si="9"/>
        <v>1800</v>
      </c>
      <c r="F26" s="79">
        <f t="shared" si="6"/>
        <v>966</v>
      </c>
      <c r="G26" s="79">
        <f t="shared" si="8"/>
        <v>4.41</v>
      </c>
      <c r="H26" s="79">
        <f t="shared" si="7"/>
        <v>3.6750000000000003</v>
      </c>
      <c r="I26" s="79">
        <f t="shared" si="0"/>
        <v>689.4094892391315</v>
      </c>
      <c r="J26" s="79">
        <f t="shared" si="1"/>
        <v>1110.5905107608685</v>
      </c>
      <c r="K26" s="79">
        <f t="shared" si="2"/>
        <v>188283.82832981914</v>
      </c>
      <c r="L26" s="79">
        <f>IF(C26&lt;=0,"还完了",SUM(E$5:E25)+K26)</f>
        <v>226083.82832981914</v>
      </c>
      <c r="M26" s="79">
        <f t="shared" si="3"/>
        <v>16083.828329819138</v>
      </c>
    </row>
    <row r="27" spans="1:13" ht="12">
      <c r="A27" s="139"/>
      <c r="B27" s="78">
        <v>23</v>
      </c>
      <c r="C27" s="79">
        <f t="shared" si="4"/>
        <v>186483.82832981914</v>
      </c>
      <c r="D27" s="79">
        <f t="shared" si="5"/>
        <v>1800</v>
      </c>
      <c r="E27" s="80">
        <f t="shared" si="9"/>
        <v>1800</v>
      </c>
      <c r="F27" s="79">
        <f t="shared" si="6"/>
        <v>966</v>
      </c>
      <c r="G27" s="79">
        <f t="shared" si="8"/>
        <v>4.41</v>
      </c>
      <c r="H27" s="79">
        <f t="shared" si="7"/>
        <v>3.6750000000000003</v>
      </c>
      <c r="I27" s="79">
        <f t="shared" si="0"/>
        <v>685.3280691120854</v>
      </c>
      <c r="J27" s="79">
        <f t="shared" si="1"/>
        <v>1114.6719308879146</v>
      </c>
      <c r="K27" s="79">
        <f t="shared" si="2"/>
        <v>187169.15639893123</v>
      </c>
      <c r="L27" s="79">
        <f>IF(C27&lt;=0,"还完了",SUM(E$5:E26)+K27)</f>
        <v>226769.15639893123</v>
      </c>
      <c r="M27" s="79">
        <f t="shared" si="3"/>
        <v>16769.156398931227</v>
      </c>
    </row>
    <row r="28" spans="1:13" ht="12">
      <c r="A28" s="139"/>
      <c r="B28" s="78">
        <v>24</v>
      </c>
      <c r="C28" s="79">
        <f t="shared" si="4"/>
        <v>185369.15639893123</v>
      </c>
      <c r="D28" s="79">
        <f t="shared" si="5"/>
        <v>1800</v>
      </c>
      <c r="E28" s="80">
        <f t="shared" si="9"/>
        <v>1800</v>
      </c>
      <c r="F28" s="79">
        <f t="shared" si="6"/>
        <v>966</v>
      </c>
      <c r="G28" s="79">
        <f t="shared" si="8"/>
        <v>4.41</v>
      </c>
      <c r="H28" s="79">
        <f t="shared" si="7"/>
        <v>3.6750000000000003</v>
      </c>
      <c r="I28" s="79">
        <f t="shared" si="0"/>
        <v>681.2316497660723</v>
      </c>
      <c r="J28" s="79">
        <f t="shared" si="1"/>
        <v>1118.7683502339278</v>
      </c>
      <c r="K28" s="79">
        <f t="shared" si="2"/>
        <v>186050.3880486973</v>
      </c>
      <c r="L28" s="79">
        <f>IF(C28&lt;=0,"还完了",SUM(E$5:E27)+K28)</f>
        <v>227450.3880486973</v>
      </c>
      <c r="M28" s="79">
        <f t="shared" si="3"/>
        <v>17450.388048697292</v>
      </c>
    </row>
    <row r="29" spans="1:13" ht="12">
      <c r="A29" s="139">
        <v>3</v>
      </c>
      <c r="B29" s="78">
        <v>25</v>
      </c>
      <c r="C29" s="79">
        <f t="shared" si="4"/>
        <v>184250.3880486973</v>
      </c>
      <c r="D29" s="79">
        <f t="shared" si="5"/>
        <v>1800</v>
      </c>
      <c r="E29" s="80">
        <f t="shared" si="9"/>
        <v>1800</v>
      </c>
      <c r="F29" s="79">
        <f t="shared" si="6"/>
        <v>966</v>
      </c>
      <c r="G29" s="79">
        <f t="shared" si="8"/>
        <v>4.41</v>
      </c>
      <c r="H29" s="79">
        <f t="shared" si="7"/>
        <v>3.6750000000000003</v>
      </c>
      <c r="I29" s="79">
        <f t="shared" si="0"/>
        <v>677.1201760789626</v>
      </c>
      <c r="J29" s="79">
        <f t="shared" si="1"/>
        <v>1122.8798239210373</v>
      </c>
      <c r="K29" s="79">
        <f t="shared" si="2"/>
        <v>184927.50822477625</v>
      </c>
      <c r="L29" s="79">
        <f>IF(C29&lt;=0,"还完了",SUM(E$5:E28)+K29)</f>
        <v>228127.50822477625</v>
      </c>
      <c r="M29" s="79">
        <f t="shared" si="3"/>
        <v>18127.508224776248</v>
      </c>
    </row>
    <row r="30" spans="1:13" ht="12">
      <c r="A30" s="139"/>
      <c r="B30" s="78">
        <v>26</v>
      </c>
      <c r="C30" s="79">
        <f t="shared" si="4"/>
        <v>183127.50822477625</v>
      </c>
      <c r="D30" s="79">
        <f t="shared" si="5"/>
        <v>1800</v>
      </c>
      <c r="E30" s="80">
        <f t="shared" si="9"/>
        <v>1800</v>
      </c>
      <c r="F30" s="79">
        <f t="shared" si="6"/>
        <v>966</v>
      </c>
      <c r="G30" s="79">
        <f t="shared" si="8"/>
        <v>4.41</v>
      </c>
      <c r="H30" s="79">
        <f t="shared" si="7"/>
        <v>3.6750000000000003</v>
      </c>
      <c r="I30" s="79">
        <f t="shared" si="0"/>
        <v>672.9935927260527</v>
      </c>
      <c r="J30" s="79">
        <f t="shared" si="1"/>
        <v>1127.0064072739474</v>
      </c>
      <c r="K30" s="79">
        <f t="shared" si="2"/>
        <v>183800.5018175023</v>
      </c>
      <c r="L30" s="79">
        <f>IF(C30&lt;=0,"还完了",SUM(E$5:E29)+K30)</f>
        <v>228800.5018175023</v>
      </c>
      <c r="M30" s="79">
        <f t="shared" si="3"/>
        <v>18800.501817502314</v>
      </c>
    </row>
    <row r="31" spans="1:13" ht="12">
      <c r="A31" s="139"/>
      <c r="B31" s="78">
        <v>27</v>
      </c>
      <c r="C31" s="79">
        <f t="shared" si="4"/>
        <v>182000.5018175023</v>
      </c>
      <c r="D31" s="79">
        <f t="shared" si="5"/>
        <v>1800</v>
      </c>
      <c r="E31" s="80">
        <f t="shared" si="9"/>
        <v>1800</v>
      </c>
      <c r="F31" s="79">
        <f t="shared" si="6"/>
        <v>966</v>
      </c>
      <c r="G31" s="79">
        <f t="shared" si="8"/>
        <v>4.41</v>
      </c>
      <c r="H31" s="79">
        <f t="shared" si="7"/>
        <v>3.6750000000000003</v>
      </c>
      <c r="I31" s="79">
        <f t="shared" si="0"/>
        <v>668.8518441793211</v>
      </c>
      <c r="J31" s="79">
        <f t="shared" si="1"/>
        <v>1131.1481558206788</v>
      </c>
      <c r="K31" s="79">
        <f t="shared" si="2"/>
        <v>182669.35366168164</v>
      </c>
      <c r="L31" s="79">
        <f>IF(C31&lt;=0,"还完了",SUM(E$5:E30)+K31)</f>
        <v>229469.35366168164</v>
      </c>
      <c r="M31" s="79">
        <f t="shared" si="3"/>
        <v>19469.353661681642</v>
      </c>
    </row>
    <row r="32" spans="1:13" ht="12">
      <c r="A32" s="139"/>
      <c r="B32" s="78">
        <v>28</v>
      </c>
      <c r="C32" s="79">
        <f t="shared" si="4"/>
        <v>180869.35366168164</v>
      </c>
      <c r="D32" s="79">
        <f t="shared" si="5"/>
        <v>1800</v>
      </c>
      <c r="E32" s="80">
        <f t="shared" si="9"/>
        <v>1800</v>
      </c>
      <c r="F32" s="79">
        <f t="shared" si="6"/>
        <v>966</v>
      </c>
      <c r="G32" s="79">
        <f t="shared" si="8"/>
        <v>4.41</v>
      </c>
      <c r="H32" s="79">
        <f t="shared" si="7"/>
        <v>3.6750000000000003</v>
      </c>
      <c r="I32" s="79">
        <f t="shared" si="0"/>
        <v>664.69487470668</v>
      </c>
      <c r="J32" s="79">
        <f t="shared" si="1"/>
        <v>1135.30512529332</v>
      </c>
      <c r="K32" s="79">
        <f t="shared" si="2"/>
        <v>181534.04853638832</v>
      </c>
      <c r="L32" s="79">
        <f>IF(C32&lt;=0,"还完了",SUM(E$5:E31)+K32)</f>
        <v>230134.04853638832</v>
      </c>
      <c r="M32" s="79">
        <f t="shared" si="3"/>
        <v>20134.04853638832</v>
      </c>
    </row>
    <row r="33" spans="1:13" ht="12">
      <c r="A33" s="139"/>
      <c r="B33" s="78">
        <v>29</v>
      </c>
      <c r="C33" s="79">
        <f t="shared" si="4"/>
        <v>179734.04853638832</v>
      </c>
      <c r="D33" s="79">
        <f t="shared" si="5"/>
        <v>1800</v>
      </c>
      <c r="E33" s="80">
        <f t="shared" si="9"/>
        <v>1800</v>
      </c>
      <c r="F33" s="79">
        <f t="shared" si="6"/>
        <v>966</v>
      </c>
      <c r="G33" s="79">
        <f t="shared" si="8"/>
        <v>4.41</v>
      </c>
      <c r="H33" s="79">
        <f t="shared" si="7"/>
        <v>3.6750000000000003</v>
      </c>
      <c r="I33" s="79">
        <f t="shared" si="0"/>
        <v>660.522628371227</v>
      </c>
      <c r="J33" s="79">
        <f t="shared" si="1"/>
        <v>1139.477371628773</v>
      </c>
      <c r="K33" s="79">
        <f t="shared" si="2"/>
        <v>180394.57116475955</v>
      </c>
      <c r="L33" s="79">
        <f>IF(C33&lt;=0,"还完了",SUM(E$5:E32)+K33)</f>
        <v>230794.57116475955</v>
      </c>
      <c r="M33" s="79">
        <f t="shared" si="3"/>
        <v>20794.571164759545</v>
      </c>
    </row>
    <row r="34" spans="1:13" ht="12">
      <c r="A34" s="139"/>
      <c r="B34" s="78">
        <v>30</v>
      </c>
      <c r="C34" s="79">
        <f t="shared" si="4"/>
        <v>178594.57116475955</v>
      </c>
      <c r="D34" s="79">
        <f t="shared" si="5"/>
        <v>1800</v>
      </c>
      <c r="E34" s="80">
        <f t="shared" si="9"/>
        <v>1800</v>
      </c>
      <c r="F34" s="79">
        <f t="shared" si="6"/>
        <v>966</v>
      </c>
      <c r="G34" s="79">
        <f t="shared" si="8"/>
        <v>4.41</v>
      </c>
      <c r="H34" s="79">
        <f t="shared" si="7"/>
        <v>3.6750000000000003</v>
      </c>
      <c r="I34" s="79">
        <f t="shared" si="0"/>
        <v>656.3350490304914</v>
      </c>
      <c r="J34" s="79">
        <f t="shared" si="1"/>
        <v>1143.6649509695085</v>
      </c>
      <c r="K34" s="79">
        <f t="shared" si="2"/>
        <v>179250.90621379003</v>
      </c>
      <c r="L34" s="79">
        <f>IF(C34&lt;=0,"还完了",SUM(E$5:E33)+K34)</f>
        <v>231450.90621379003</v>
      </c>
      <c r="M34" s="79">
        <f t="shared" si="3"/>
        <v>21450.906213790033</v>
      </c>
    </row>
    <row r="35" spans="1:13" ht="12">
      <c r="A35" s="139"/>
      <c r="B35" s="78">
        <v>31</v>
      </c>
      <c r="C35" s="79">
        <f t="shared" si="4"/>
        <v>177450.90621379003</v>
      </c>
      <c r="D35" s="79">
        <f t="shared" si="5"/>
        <v>1800</v>
      </c>
      <c r="E35" s="80">
        <f t="shared" si="9"/>
        <v>1800</v>
      </c>
      <c r="F35" s="79">
        <f t="shared" si="6"/>
        <v>966</v>
      </c>
      <c r="G35" s="79">
        <f t="shared" si="8"/>
        <v>4.41</v>
      </c>
      <c r="H35" s="79">
        <f t="shared" si="7"/>
        <v>3.6750000000000003</v>
      </c>
      <c r="I35" s="79">
        <f t="shared" si="0"/>
        <v>652.1320803356784</v>
      </c>
      <c r="J35" s="79">
        <f t="shared" si="1"/>
        <v>1147.8679196643216</v>
      </c>
      <c r="K35" s="79">
        <f t="shared" si="2"/>
        <v>178103.0382941257</v>
      </c>
      <c r="L35" s="79">
        <f>IF(C35&lt;=0,"还完了",SUM(E$5:E34)+K35)</f>
        <v>232103.0382941257</v>
      </c>
      <c r="M35" s="79">
        <f t="shared" si="3"/>
        <v>22103.038294125698</v>
      </c>
    </row>
    <row r="36" spans="1:13" ht="12">
      <c r="A36" s="139"/>
      <c r="B36" s="78">
        <v>32</v>
      </c>
      <c r="C36" s="79">
        <f t="shared" si="4"/>
        <v>176303.0382941257</v>
      </c>
      <c r="D36" s="79">
        <f t="shared" si="5"/>
        <v>1800</v>
      </c>
      <c r="E36" s="80">
        <f t="shared" si="9"/>
        <v>1800</v>
      </c>
      <c r="F36" s="79">
        <f t="shared" si="6"/>
        <v>966</v>
      </c>
      <c r="G36" s="79">
        <f t="shared" si="8"/>
        <v>4.41</v>
      </c>
      <c r="H36" s="79">
        <f t="shared" si="7"/>
        <v>3.6750000000000003</v>
      </c>
      <c r="I36" s="79">
        <f t="shared" si="0"/>
        <v>647.913665730912</v>
      </c>
      <c r="J36" s="79">
        <f t="shared" si="1"/>
        <v>1152.086334269088</v>
      </c>
      <c r="K36" s="79">
        <f t="shared" si="2"/>
        <v>176950.9519598566</v>
      </c>
      <c r="L36" s="79">
        <f>IF(C36&lt;=0,"还完了",SUM(E$5:E35)+K36)</f>
        <v>232750.9519598566</v>
      </c>
      <c r="M36" s="79">
        <f t="shared" si="3"/>
        <v>22750.95195985661</v>
      </c>
    </row>
    <row r="37" spans="1:13" ht="12">
      <c r="A37" s="139"/>
      <c r="B37" s="78">
        <v>33</v>
      </c>
      <c r="C37" s="79">
        <f t="shared" si="4"/>
        <v>175150.9519598566</v>
      </c>
      <c r="D37" s="79">
        <f t="shared" si="5"/>
        <v>1800</v>
      </c>
      <c r="E37" s="80">
        <f t="shared" si="9"/>
        <v>1800</v>
      </c>
      <c r="F37" s="79">
        <f t="shared" si="6"/>
        <v>966</v>
      </c>
      <c r="G37" s="79">
        <f t="shared" si="8"/>
        <v>4.41</v>
      </c>
      <c r="H37" s="79">
        <f t="shared" si="7"/>
        <v>3.6750000000000003</v>
      </c>
      <c r="I37" s="79">
        <f t="shared" si="0"/>
        <v>643.6797484524731</v>
      </c>
      <c r="J37" s="79">
        <f t="shared" si="1"/>
        <v>1156.3202515475268</v>
      </c>
      <c r="K37" s="79">
        <f t="shared" si="2"/>
        <v>175794.63170830908</v>
      </c>
      <c r="L37" s="79">
        <f>IF(C37&lt;=0,"还完了",SUM(E$5:E36)+K37)</f>
        <v>233394.63170830908</v>
      </c>
      <c r="M37" s="79">
        <f t="shared" si="3"/>
        <v>23394.631708309083</v>
      </c>
    </row>
    <row r="38" spans="1:13" ht="12">
      <c r="A38" s="139"/>
      <c r="B38" s="78">
        <v>34</v>
      </c>
      <c r="C38" s="79">
        <f t="shared" si="4"/>
        <v>173994.63170830908</v>
      </c>
      <c r="D38" s="79">
        <f t="shared" si="5"/>
        <v>1800</v>
      </c>
      <c r="E38" s="80">
        <f t="shared" si="9"/>
        <v>1800</v>
      </c>
      <c r="F38" s="79">
        <f t="shared" si="6"/>
        <v>966</v>
      </c>
      <c r="G38" s="79">
        <f t="shared" si="8"/>
        <v>4.41</v>
      </c>
      <c r="H38" s="79">
        <f t="shared" si="7"/>
        <v>3.6750000000000003</v>
      </c>
      <c r="I38" s="79">
        <f t="shared" si="0"/>
        <v>639.430271528036</v>
      </c>
      <c r="J38" s="79">
        <f t="shared" si="1"/>
        <v>1160.569728471964</v>
      </c>
      <c r="K38" s="79">
        <f t="shared" si="2"/>
        <v>174634.06197983713</v>
      </c>
      <c r="L38" s="79">
        <f>IF(C38&lt;=0,"还完了",SUM(E$5:E37)+K38)</f>
        <v>234034.06197983713</v>
      </c>
      <c r="M38" s="79">
        <f t="shared" si="3"/>
        <v>24034.061979837134</v>
      </c>
    </row>
    <row r="39" spans="1:13" ht="12">
      <c r="A39" s="139"/>
      <c r="B39" s="78">
        <v>35</v>
      </c>
      <c r="C39" s="79">
        <f t="shared" si="4"/>
        <v>172834.06197983713</v>
      </c>
      <c r="D39" s="79">
        <f t="shared" si="5"/>
        <v>1800</v>
      </c>
      <c r="E39" s="80">
        <f t="shared" si="9"/>
        <v>1800</v>
      </c>
      <c r="F39" s="79">
        <f t="shared" si="6"/>
        <v>966</v>
      </c>
      <c r="G39" s="79">
        <f t="shared" si="8"/>
        <v>4.41</v>
      </c>
      <c r="H39" s="79">
        <f t="shared" si="7"/>
        <v>3.6750000000000003</v>
      </c>
      <c r="I39" s="79">
        <f t="shared" si="0"/>
        <v>635.1651777759015</v>
      </c>
      <c r="J39" s="79">
        <f t="shared" si="1"/>
        <v>1164.8348222240984</v>
      </c>
      <c r="K39" s="79">
        <f t="shared" si="2"/>
        <v>173469.22715761303</v>
      </c>
      <c r="L39" s="79">
        <f>IF(C39&lt;=0,"还完了",SUM(E$5:E38)+K39)</f>
        <v>234669.22715761303</v>
      </c>
      <c r="M39" s="79">
        <f t="shared" si="3"/>
        <v>24669.22715761303</v>
      </c>
    </row>
    <row r="40" spans="1:13" ht="12">
      <c r="A40" s="139"/>
      <c r="B40" s="78">
        <v>36</v>
      </c>
      <c r="C40" s="79">
        <f t="shared" si="4"/>
        <v>171669.22715761303</v>
      </c>
      <c r="D40" s="79">
        <f t="shared" si="5"/>
        <v>1800</v>
      </c>
      <c r="E40" s="80">
        <f t="shared" si="9"/>
        <v>1800</v>
      </c>
      <c r="F40" s="79">
        <f t="shared" si="6"/>
        <v>966</v>
      </c>
      <c r="G40" s="79">
        <f t="shared" si="8"/>
        <v>4.41</v>
      </c>
      <c r="H40" s="79">
        <f t="shared" si="7"/>
        <v>3.6750000000000003</v>
      </c>
      <c r="I40" s="79">
        <f t="shared" si="0"/>
        <v>630.8844098042279</v>
      </c>
      <c r="J40" s="79">
        <f t="shared" si="1"/>
        <v>1169.1155901957723</v>
      </c>
      <c r="K40" s="79">
        <f t="shared" si="2"/>
        <v>172300.11156741725</v>
      </c>
      <c r="L40" s="79">
        <f>IF(C40&lt;=0,"还完了",SUM(E$5:E39)+K40)</f>
        <v>235300.11156741725</v>
      </c>
      <c r="M40" s="79">
        <f t="shared" si="3"/>
        <v>25300.111567417247</v>
      </c>
    </row>
    <row r="41" spans="1:13" ht="12">
      <c r="A41" s="139">
        <v>4</v>
      </c>
      <c r="B41" s="78">
        <v>37</v>
      </c>
      <c r="C41" s="79">
        <f t="shared" si="4"/>
        <v>170500.11156741725</v>
      </c>
      <c r="D41" s="79">
        <f t="shared" si="5"/>
        <v>1800</v>
      </c>
      <c r="E41" s="80">
        <f t="shared" si="9"/>
        <v>1800</v>
      </c>
      <c r="F41" s="79">
        <f t="shared" si="6"/>
        <v>966</v>
      </c>
      <c r="G41" s="79">
        <f t="shared" si="8"/>
        <v>4.41</v>
      </c>
      <c r="H41" s="79">
        <f t="shared" si="7"/>
        <v>3.6750000000000003</v>
      </c>
      <c r="I41" s="79">
        <f t="shared" si="0"/>
        <v>626.5879100102584</v>
      </c>
      <c r="J41" s="79">
        <f t="shared" si="1"/>
        <v>1173.4120899897416</v>
      </c>
      <c r="K41" s="79">
        <f t="shared" si="2"/>
        <v>171126.6994774275</v>
      </c>
      <c r="L41" s="79">
        <f>IF(C41&lt;=0,"还完了",SUM(E$5:E40)+K41)</f>
        <v>235926.6994774275</v>
      </c>
      <c r="M41" s="79">
        <f t="shared" si="3"/>
        <v>25926.699477427494</v>
      </c>
    </row>
    <row r="42" spans="1:13" ht="12">
      <c r="A42" s="139"/>
      <c r="B42" s="78">
        <v>38</v>
      </c>
      <c r="C42" s="79">
        <f t="shared" si="4"/>
        <v>169326.6994774275</v>
      </c>
      <c r="D42" s="79">
        <f t="shared" si="5"/>
        <v>1800</v>
      </c>
      <c r="E42" s="80">
        <f t="shared" si="9"/>
        <v>1800</v>
      </c>
      <c r="F42" s="79">
        <f t="shared" si="6"/>
        <v>966</v>
      </c>
      <c r="G42" s="79">
        <f t="shared" si="8"/>
        <v>4.41</v>
      </c>
      <c r="H42" s="79">
        <f t="shared" si="7"/>
        <v>3.6750000000000003</v>
      </c>
      <c r="I42" s="79">
        <f t="shared" si="0"/>
        <v>622.2756205795461</v>
      </c>
      <c r="J42" s="79">
        <f t="shared" si="1"/>
        <v>1177.724379420454</v>
      </c>
      <c r="K42" s="79">
        <f t="shared" si="2"/>
        <v>169948.97509800704</v>
      </c>
      <c r="L42" s="79">
        <f>IF(C42&lt;=0,"还完了",SUM(E$5:E41)+K42)</f>
        <v>236548.97509800704</v>
      </c>
      <c r="M42" s="79">
        <f t="shared" si="3"/>
        <v>26548.97509800704</v>
      </c>
    </row>
    <row r="43" spans="1:13" ht="12">
      <c r="A43" s="139"/>
      <c r="B43" s="78">
        <v>39</v>
      </c>
      <c r="C43" s="79">
        <f t="shared" si="4"/>
        <v>168148.97509800704</v>
      </c>
      <c r="D43" s="79">
        <f t="shared" si="5"/>
        <v>1800</v>
      </c>
      <c r="E43" s="80">
        <f t="shared" si="9"/>
        <v>1800</v>
      </c>
      <c r="F43" s="79">
        <f t="shared" si="6"/>
        <v>966</v>
      </c>
      <c r="G43" s="79">
        <f t="shared" si="8"/>
        <v>4.41</v>
      </c>
      <c r="H43" s="79">
        <f t="shared" si="7"/>
        <v>3.6750000000000003</v>
      </c>
      <c r="I43" s="79">
        <f t="shared" si="0"/>
        <v>617.9474834851759</v>
      </c>
      <c r="J43" s="79">
        <f t="shared" si="1"/>
        <v>1182.0525165148242</v>
      </c>
      <c r="K43" s="79">
        <f t="shared" si="2"/>
        <v>168766.92258149222</v>
      </c>
      <c r="L43" s="79">
        <f>IF(C43&lt;=0,"还完了",SUM(E$5:E42)+K43)</f>
        <v>237166.92258149222</v>
      </c>
      <c r="M43" s="79">
        <f t="shared" si="3"/>
        <v>27166.922581492225</v>
      </c>
    </row>
    <row r="44" spans="1:13" ht="12">
      <c r="A44" s="139"/>
      <c r="B44" s="78">
        <v>40</v>
      </c>
      <c r="C44" s="79">
        <f t="shared" si="4"/>
        <v>166966.92258149222</v>
      </c>
      <c r="D44" s="79">
        <f t="shared" si="5"/>
        <v>1800</v>
      </c>
      <c r="E44" s="80">
        <f t="shared" si="9"/>
        <v>1800</v>
      </c>
      <c r="F44" s="79">
        <f t="shared" si="6"/>
        <v>966</v>
      </c>
      <c r="G44" s="79">
        <f t="shared" si="8"/>
        <v>4.41</v>
      </c>
      <c r="H44" s="79">
        <f t="shared" si="7"/>
        <v>3.6750000000000003</v>
      </c>
      <c r="I44" s="79">
        <f t="shared" si="0"/>
        <v>613.603440486984</v>
      </c>
      <c r="J44" s="79">
        <f t="shared" si="1"/>
        <v>1186.396559513016</v>
      </c>
      <c r="K44" s="79">
        <f t="shared" si="2"/>
        <v>167580.5260219792</v>
      </c>
      <c r="L44" s="79">
        <f>IF(C44&lt;=0,"还完了",SUM(E$5:E43)+K44)</f>
        <v>237780.5260219792</v>
      </c>
      <c r="M44" s="79">
        <f t="shared" si="3"/>
        <v>27780.526021979196</v>
      </c>
    </row>
    <row r="45" spans="1:13" ht="12">
      <c r="A45" s="139"/>
      <c r="B45" s="78">
        <v>41</v>
      </c>
      <c r="C45" s="79">
        <f t="shared" si="4"/>
        <v>165780.5260219792</v>
      </c>
      <c r="D45" s="79">
        <f t="shared" si="5"/>
        <v>1800</v>
      </c>
      <c r="E45" s="80">
        <f t="shared" si="9"/>
        <v>1800</v>
      </c>
      <c r="F45" s="79">
        <f t="shared" si="6"/>
        <v>966</v>
      </c>
      <c r="G45" s="79">
        <f t="shared" si="8"/>
        <v>4.41</v>
      </c>
      <c r="H45" s="79">
        <f t="shared" si="7"/>
        <v>3.6750000000000003</v>
      </c>
      <c r="I45" s="79">
        <f t="shared" si="0"/>
        <v>609.2434331307736</v>
      </c>
      <c r="J45" s="79">
        <f t="shared" si="1"/>
        <v>1190.7565668692264</v>
      </c>
      <c r="K45" s="79">
        <f t="shared" si="2"/>
        <v>166389.76945510996</v>
      </c>
      <c r="L45" s="79">
        <f>IF(C45&lt;=0,"还完了",SUM(E$5:E44)+K45)</f>
        <v>238389.76945510996</v>
      </c>
      <c r="M45" s="79">
        <f t="shared" si="3"/>
        <v>28389.769455109956</v>
      </c>
    </row>
    <row r="46" spans="1:13" ht="12">
      <c r="A46" s="139"/>
      <c r="B46" s="78">
        <v>42</v>
      </c>
      <c r="C46" s="79">
        <f t="shared" si="4"/>
        <v>164589.76945510996</v>
      </c>
      <c r="D46" s="79">
        <f t="shared" si="5"/>
        <v>1800</v>
      </c>
      <c r="E46" s="80">
        <f t="shared" si="9"/>
        <v>1800</v>
      </c>
      <c r="F46" s="79">
        <f t="shared" si="6"/>
        <v>966</v>
      </c>
      <c r="G46" s="79">
        <f t="shared" si="8"/>
        <v>4.41</v>
      </c>
      <c r="H46" s="79">
        <f t="shared" si="7"/>
        <v>3.6750000000000003</v>
      </c>
      <c r="I46" s="79">
        <f t="shared" si="0"/>
        <v>604.8674027475291</v>
      </c>
      <c r="J46" s="79">
        <f t="shared" si="1"/>
        <v>1195.132597252471</v>
      </c>
      <c r="K46" s="79">
        <f t="shared" si="2"/>
        <v>165194.6368578575</v>
      </c>
      <c r="L46" s="79">
        <f>IF(C46&lt;=0,"还完了",SUM(E$5:E45)+K46)</f>
        <v>238994.6368578575</v>
      </c>
      <c r="M46" s="79">
        <f t="shared" si="3"/>
        <v>28994.63685785749</v>
      </c>
    </row>
    <row r="47" spans="1:13" ht="12">
      <c r="A47" s="139"/>
      <c r="B47" s="78">
        <v>43</v>
      </c>
      <c r="C47" s="79">
        <f t="shared" si="4"/>
        <v>163394.6368578575</v>
      </c>
      <c r="D47" s="79">
        <f t="shared" si="5"/>
        <v>1800</v>
      </c>
      <c r="E47" s="80">
        <f t="shared" si="9"/>
        <v>1800</v>
      </c>
      <c r="F47" s="79">
        <f t="shared" si="6"/>
        <v>966</v>
      </c>
      <c r="G47" s="79">
        <f t="shared" si="8"/>
        <v>4.41</v>
      </c>
      <c r="H47" s="79">
        <f t="shared" si="7"/>
        <v>3.6750000000000003</v>
      </c>
      <c r="I47" s="79">
        <f t="shared" si="0"/>
        <v>600.4752904526263</v>
      </c>
      <c r="J47" s="79">
        <f t="shared" si="1"/>
        <v>1199.5247095473737</v>
      </c>
      <c r="K47" s="79">
        <f t="shared" si="2"/>
        <v>163995.11214831012</v>
      </c>
      <c r="L47" s="79">
        <f>IF(C47&lt;=0,"还完了",SUM(E$5:E46)+K47)</f>
        <v>239595.11214831012</v>
      </c>
      <c r="M47" s="79">
        <f t="shared" si="3"/>
        <v>29595.112148310116</v>
      </c>
    </row>
    <row r="48" spans="1:13" ht="12">
      <c r="A48" s="139"/>
      <c r="B48" s="78">
        <v>44</v>
      </c>
      <c r="C48" s="79">
        <f t="shared" si="4"/>
        <v>162195.11214831012</v>
      </c>
      <c r="D48" s="79">
        <f t="shared" si="5"/>
        <v>1800</v>
      </c>
      <c r="E48" s="80">
        <f t="shared" si="9"/>
        <v>1800</v>
      </c>
      <c r="F48" s="79">
        <f t="shared" si="6"/>
        <v>966</v>
      </c>
      <c r="G48" s="79">
        <f t="shared" si="8"/>
        <v>4.41</v>
      </c>
      <c r="H48" s="79">
        <f t="shared" si="7"/>
        <v>3.6750000000000003</v>
      </c>
      <c r="I48" s="79">
        <f t="shared" si="0"/>
        <v>596.0670371450398</v>
      </c>
      <c r="J48" s="79">
        <f t="shared" si="1"/>
        <v>1203.9329628549604</v>
      </c>
      <c r="K48" s="79">
        <f t="shared" si="2"/>
        <v>162791.17918545514</v>
      </c>
      <c r="L48" s="79">
        <f>IF(C48&lt;=0,"还完了",SUM(E$5:E47)+K48)</f>
        <v>240191.17918545514</v>
      </c>
      <c r="M48" s="79">
        <f t="shared" si="3"/>
        <v>30191.17918545514</v>
      </c>
    </row>
    <row r="49" spans="1:13" ht="12">
      <c r="A49" s="139"/>
      <c r="B49" s="78">
        <v>45</v>
      </c>
      <c r="C49" s="79">
        <f t="shared" si="4"/>
        <v>160991.17918545514</v>
      </c>
      <c r="D49" s="79">
        <f t="shared" si="5"/>
        <v>1800</v>
      </c>
      <c r="E49" s="80">
        <f t="shared" si="9"/>
        <v>1800</v>
      </c>
      <c r="F49" s="79">
        <f t="shared" si="6"/>
        <v>966</v>
      </c>
      <c r="G49" s="79">
        <f t="shared" si="8"/>
        <v>4.41</v>
      </c>
      <c r="H49" s="79">
        <f t="shared" si="7"/>
        <v>3.6750000000000003</v>
      </c>
      <c r="I49" s="79">
        <f t="shared" si="0"/>
        <v>591.6425835065477</v>
      </c>
      <c r="J49" s="79">
        <f t="shared" si="1"/>
        <v>1208.3574164934523</v>
      </c>
      <c r="K49" s="79">
        <f t="shared" si="2"/>
        <v>161582.8217689617</v>
      </c>
      <c r="L49" s="79">
        <f>IF(C49&lt;=0,"还完了",SUM(E$5:E48)+K49)</f>
        <v>240782.8217689617</v>
      </c>
      <c r="M49" s="79">
        <f t="shared" si="3"/>
        <v>30782.8217689617</v>
      </c>
    </row>
    <row r="50" spans="1:13" ht="12">
      <c r="A50" s="139"/>
      <c r="B50" s="78">
        <v>46</v>
      </c>
      <c r="C50" s="79">
        <f t="shared" si="4"/>
        <v>159782.8217689617</v>
      </c>
      <c r="D50" s="79">
        <f t="shared" si="5"/>
        <v>1800</v>
      </c>
      <c r="E50" s="80">
        <f t="shared" si="9"/>
        <v>1800</v>
      </c>
      <c r="F50" s="79">
        <f t="shared" si="6"/>
        <v>966</v>
      </c>
      <c r="G50" s="79">
        <f t="shared" si="8"/>
        <v>4.41</v>
      </c>
      <c r="H50" s="79">
        <f t="shared" si="7"/>
        <v>3.6750000000000003</v>
      </c>
      <c r="I50" s="79">
        <f t="shared" si="0"/>
        <v>587.2018700009344</v>
      </c>
      <c r="J50" s="79">
        <f t="shared" si="1"/>
        <v>1212.7981299990656</v>
      </c>
      <c r="K50" s="79">
        <f t="shared" si="2"/>
        <v>160370.02363896262</v>
      </c>
      <c r="L50" s="79">
        <f>IF(C50&lt;=0,"还完了",SUM(E$5:E49)+K50)</f>
        <v>241370.02363896262</v>
      </c>
      <c r="M50" s="79">
        <f t="shared" si="3"/>
        <v>31370.023638962622</v>
      </c>
    </row>
    <row r="51" spans="1:13" ht="12">
      <c r="A51" s="139"/>
      <c r="B51" s="78">
        <v>47</v>
      </c>
      <c r="C51" s="79">
        <f t="shared" si="4"/>
        <v>158570.02363896262</v>
      </c>
      <c r="D51" s="79">
        <f t="shared" si="5"/>
        <v>1800</v>
      </c>
      <c r="E51" s="80">
        <f t="shared" si="9"/>
        <v>1800</v>
      </c>
      <c r="F51" s="79">
        <f t="shared" si="6"/>
        <v>966</v>
      </c>
      <c r="G51" s="79">
        <f t="shared" si="8"/>
        <v>4.41</v>
      </c>
      <c r="H51" s="79">
        <f t="shared" si="7"/>
        <v>3.6750000000000003</v>
      </c>
      <c r="I51" s="79">
        <f t="shared" si="0"/>
        <v>582.7448368731876</v>
      </c>
      <c r="J51" s="79">
        <f t="shared" si="1"/>
        <v>1217.2551631268125</v>
      </c>
      <c r="K51" s="79">
        <f t="shared" si="2"/>
        <v>159152.76847583582</v>
      </c>
      <c r="L51" s="79">
        <f>IF(C51&lt;=0,"还完了",SUM(E$5:E50)+K51)</f>
        <v>241952.76847583582</v>
      </c>
      <c r="M51" s="79">
        <f t="shared" si="3"/>
        <v>31952.768475835823</v>
      </c>
    </row>
    <row r="52" spans="1:13" ht="12">
      <c r="A52" s="139"/>
      <c r="B52" s="78">
        <v>48</v>
      </c>
      <c r="C52" s="79">
        <f t="shared" si="4"/>
        <v>157352.76847583582</v>
      </c>
      <c r="D52" s="79">
        <f t="shared" si="5"/>
        <v>1800</v>
      </c>
      <c r="E52" s="80">
        <f t="shared" si="9"/>
        <v>1800</v>
      </c>
      <c r="F52" s="79">
        <f t="shared" si="6"/>
        <v>966</v>
      </c>
      <c r="G52" s="79">
        <f t="shared" si="8"/>
        <v>4.41</v>
      </c>
      <c r="H52" s="79">
        <f t="shared" si="7"/>
        <v>3.6750000000000003</v>
      </c>
      <c r="I52" s="79">
        <f t="shared" si="0"/>
        <v>578.2714241486967</v>
      </c>
      <c r="J52" s="79">
        <f t="shared" si="1"/>
        <v>1221.7285758513033</v>
      </c>
      <c r="K52" s="79">
        <f t="shared" si="2"/>
        <v>157931.03989998452</v>
      </c>
      <c r="L52" s="79">
        <f>IF(C52&lt;=0,"还完了",SUM(E$5:E51)+K52)</f>
        <v>242531.03989998452</v>
      </c>
      <c r="M52" s="79">
        <f t="shared" si="3"/>
        <v>32531.03989998452</v>
      </c>
    </row>
    <row r="53" spans="1:13" ht="12">
      <c r="A53" s="139">
        <v>5</v>
      </c>
      <c r="B53" s="78">
        <v>49</v>
      </c>
      <c r="C53" s="79">
        <f t="shared" si="4"/>
        <v>156131.03989998452</v>
      </c>
      <c r="D53" s="79">
        <f t="shared" si="5"/>
        <v>1800</v>
      </c>
      <c r="E53" s="80">
        <f t="shared" si="9"/>
        <v>1800</v>
      </c>
      <c r="F53" s="79">
        <f t="shared" si="6"/>
        <v>966</v>
      </c>
      <c r="G53" s="79">
        <f t="shared" si="8"/>
        <v>4.41</v>
      </c>
      <c r="H53" s="79">
        <f t="shared" si="7"/>
        <v>3.6750000000000003</v>
      </c>
      <c r="I53" s="79">
        <f t="shared" si="0"/>
        <v>573.7815716324432</v>
      </c>
      <c r="J53" s="79">
        <f t="shared" si="1"/>
        <v>1226.218428367557</v>
      </c>
      <c r="K53" s="79">
        <f t="shared" si="2"/>
        <v>156704.82147161698</v>
      </c>
      <c r="L53" s="79">
        <f>IF(C53&lt;=0,"还完了",SUM(E$5:E52)+K53)</f>
        <v>243104.82147161698</v>
      </c>
      <c r="M53" s="79">
        <f t="shared" si="3"/>
        <v>33104.821471616975</v>
      </c>
    </row>
    <row r="54" spans="1:13" ht="12">
      <c r="A54" s="139"/>
      <c r="B54" s="78">
        <v>50</v>
      </c>
      <c r="C54" s="79">
        <f t="shared" si="4"/>
        <v>154904.82147161698</v>
      </c>
      <c r="D54" s="79">
        <f t="shared" si="5"/>
        <v>1800</v>
      </c>
      <c r="E54" s="80">
        <f t="shared" si="9"/>
        <v>1800</v>
      </c>
      <c r="F54" s="79">
        <f t="shared" si="6"/>
        <v>966</v>
      </c>
      <c r="G54" s="79">
        <f t="shared" si="8"/>
        <v>4.41</v>
      </c>
      <c r="H54" s="79">
        <f t="shared" si="7"/>
        <v>3.6750000000000003</v>
      </c>
      <c r="I54" s="79">
        <f t="shared" si="0"/>
        <v>569.2752189081925</v>
      </c>
      <c r="J54" s="79">
        <f t="shared" si="1"/>
        <v>1230.7247810918075</v>
      </c>
      <c r="K54" s="79">
        <f t="shared" si="2"/>
        <v>155474.09669052516</v>
      </c>
      <c r="L54" s="79">
        <f>IF(C54&lt;=0,"还完了",SUM(E$5:E53)+K54)</f>
        <v>243674.09669052516</v>
      </c>
      <c r="M54" s="79">
        <f t="shared" si="3"/>
        <v>33674.096690525155</v>
      </c>
    </row>
    <row r="55" spans="1:13" ht="12">
      <c r="A55" s="139"/>
      <c r="B55" s="78">
        <v>51</v>
      </c>
      <c r="C55" s="79">
        <f t="shared" si="4"/>
        <v>153674.09669052516</v>
      </c>
      <c r="D55" s="79">
        <f t="shared" si="5"/>
        <v>1800</v>
      </c>
      <c r="E55" s="80">
        <f t="shared" si="9"/>
        <v>1800</v>
      </c>
      <c r="F55" s="79">
        <f t="shared" si="6"/>
        <v>966</v>
      </c>
      <c r="G55" s="79">
        <f t="shared" si="8"/>
        <v>4.41</v>
      </c>
      <c r="H55" s="79">
        <f t="shared" si="7"/>
        <v>3.6750000000000003</v>
      </c>
      <c r="I55" s="79">
        <f t="shared" si="0"/>
        <v>564.75230533768</v>
      </c>
      <c r="J55" s="79">
        <f t="shared" si="1"/>
        <v>1235.24769466232</v>
      </c>
      <c r="K55" s="79">
        <f t="shared" si="2"/>
        <v>154238.84899586285</v>
      </c>
      <c r="L55" s="79">
        <f>IF(C55&lt;=0,"还完了",SUM(E$5:E54)+K55)</f>
        <v>244238.84899586285</v>
      </c>
      <c r="M55" s="79">
        <f t="shared" si="3"/>
        <v>34238.84899586285</v>
      </c>
    </row>
    <row r="56" spans="1:13" ht="12">
      <c r="A56" s="139"/>
      <c r="B56" s="78">
        <v>52</v>
      </c>
      <c r="C56" s="79">
        <f t="shared" si="4"/>
        <v>152438.84899586285</v>
      </c>
      <c r="D56" s="79">
        <f t="shared" si="5"/>
        <v>1800</v>
      </c>
      <c r="E56" s="80">
        <f t="shared" si="9"/>
        <v>1800</v>
      </c>
      <c r="F56" s="79">
        <f t="shared" si="6"/>
        <v>966</v>
      </c>
      <c r="G56" s="79">
        <f t="shared" si="8"/>
        <v>4.41</v>
      </c>
      <c r="H56" s="79">
        <f t="shared" si="7"/>
        <v>3.6750000000000003</v>
      </c>
      <c r="I56" s="79">
        <f t="shared" si="0"/>
        <v>560.2127700597961</v>
      </c>
      <c r="J56" s="79">
        <f t="shared" si="1"/>
        <v>1239.7872299402038</v>
      </c>
      <c r="K56" s="79">
        <f t="shared" si="2"/>
        <v>152999.06176592264</v>
      </c>
      <c r="L56" s="79">
        <f>IF(C56&lt;=0,"还完了",SUM(E$5:E55)+K56)</f>
        <v>244799.06176592264</v>
      </c>
      <c r="M56" s="79">
        <f t="shared" si="3"/>
        <v>34799.06176592264</v>
      </c>
    </row>
    <row r="57" spans="1:13" ht="12">
      <c r="A57" s="139"/>
      <c r="B57" s="78">
        <v>53</v>
      </c>
      <c r="C57" s="79">
        <f t="shared" si="4"/>
        <v>151199.06176592264</v>
      </c>
      <c r="D57" s="79">
        <f t="shared" si="5"/>
        <v>1800</v>
      </c>
      <c r="E57" s="80">
        <f t="shared" si="9"/>
        <v>1800</v>
      </c>
      <c r="F57" s="79">
        <f t="shared" si="6"/>
        <v>966</v>
      </c>
      <c r="G57" s="79">
        <f t="shared" si="8"/>
        <v>4.41</v>
      </c>
      <c r="H57" s="79">
        <f t="shared" si="7"/>
        <v>3.6750000000000003</v>
      </c>
      <c r="I57" s="79">
        <f t="shared" si="0"/>
        <v>555.6565519897657</v>
      </c>
      <c r="J57" s="79">
        <f t="shared" si="1"/>
        <v>1244.3434480102342</v>
      </c>
      <c r="K57" s="79">
        <f t="shared" si="2"/>
        <v>151754.7183179124</v>
      </c>
      <c r="L57" s="79">
        <f>IF(C57&lt;=0,"还完了",SUM(E$5:E56)+K57)</f>
        <v>245354.7183179124</v>
      </c>
      <c r="M57" s="79">
        <f t="shared" si="3"/>
        <v>35354.7183179124</v>
      </c>
    </row>
    <row r="58" spans="1:13" ht="12">
      <c r="A58" s="139"/>
      <c r="B58" s="78">
        <v>54</v>
      </c>
      <c r="C58" s="79">
        <f t="shared" si="4"/>
        <v>149954.7183179124</v>
      </c>
      <c r="D58" s="79">
        <f t="shared" si="5"/>
        <v>1800</v>
      </c>
      <c r="E58" s="80">
        <f t="shared" si="9"/>
        <v>1800</v>
      </c>
      <c r="F58" s="79">
        <f t="shared" si="6"/>
        <v>966</v>
      </c>
      <c r="G58" s="79">
        <f t="shared" si="8"/>
        <v>4.41</v>
      </c>
      <c r="H58" s="79">
        <f t="shared" si="7"/>
        <v>3.6750000000000003</v>
      </c>
      <c r="I58" s="79">
        <f t="shared" si="0"/>
        <v>551.0835898183282</v>
      </c>
      <c r="J58" s="79">
        <f t="shared" si="1"/>
        <v>1248.9164101816718</v>
      </c>
      <c r="K58" s="79">
        <f t="shared" si="2"/>
        <v>150505.80190773073</v>
      </c>
      <c r="L58" s="79">
        <f>IF(C58&lt;=0,"还完了",SUM(E$5:E57)+K58)</f>
        <v>245905.80190773073</v>
      </c>
      <c r="M58" s="79">
        <f t="shared" si="3"/>
        <v>35905.801907730725</v>
      </c>
    </row>
    <row r="59" spans="1:13" ht="12">
      <c r="A59" s="139"/>
      <c r="B59" s="78">
        <v>55</v>
      </c>
      <c r="C59" s="79">
        <f t="shared" si="4"/>
        <v>148705.80190773073</v>
      </c>
      <c r="D59" s="79">
        <f t="shared" si="5"/>
        <v>1800</v>
      </c>
      <c r="E59" s="80">
        <f t="shared" si="9"/>
        <v>1800</v>
      </c>
      <c r="F59" s="79">
        <f t="shared" si="6"/>
        <v>966</v>
      </c>
      <c r="G59" s="79">
        <f t="shared" si="8"/>
        <v>4.41</v>
      </c>
      <c r="H59" s="79">
        <f t="shared" si="7"/>
        <v>3.6750000000000003</v>
      </c>
      <c r="I59" s="79">
        <f t="shared" si="0"/>
        <v>546.4938220109104</v>
      </c>
      <c r="J59" s="79">
        <f t="shared" si="1"/>
        <v>1253.5061779890896</v>
      </c>
      <c r="K59" s="79">
        <f t="shared" si="2"/>
        <v>149252.29572974163</v>
      </c>
      <c r="L59" s="79">
        <f>IF(C59&lt;=0,"还完了",SUM(E$5:E58)+K59)</f>
        <v>246452.29572974163</v>
      </c>
      <c r="M59" s="79">
        <f t="shared" si="3"/>
        <v>36452.29572974163</v>
      </c>
    </row>
    <row r="60" spans="1:13" ht="12">
      <c r="A60" s="139"/>
      <c r="B60" s="78">
        <v>56</v>
      </c>
      <c r="C60" s="79">
        <f t="shared" si="4"/>
        <v>147452.29572974163</v>
      </c>
      <c r="D60" s="79">
        <f t="shared" si="5"/>
        <v>1800</v>
      </c>
      <c r="E60" s="80">
        <f t="shared" si="9"/>
        <v>1800</v>
      </c>
      <c r="F60" s="79">
        <f t="shared" si="6"/>
        <v>966</v>
      </c>
      <c r="G60" s="79">
        <f t="shared" si="8"/>
        <v>4.41</v>
      </c>
      <c r="H60" s="79">
        <f t="shared" si="7"/>
        <v>3.6750000000000003</v>
      </c>
      <c r="I60" s="79">
        <f t="shared" si="0"/>
        <v>541.8871868068005</v>
      </c>
      <c r="J60" s="79">
        <f t="shared" si="1"/>
        <v>1258.1128131931996</v>
      </c>
      <c r="K60" s="79">
        <f t="shared" si="2"/>
        <v>147994.18291654842</v>
      </c>
      <c r="L60" s="79">
        <f>IF(C60&lt;=0,"还完了",SUM(E$5:E59)+K60)</f>
        <v>246994.18291654842</v>
      </c>
      <c r="M60" s="79">
        <f t="shared" si="3"/>
        <v>36994.18291654842</v>
      </c>
    </row>
    <row r="61" spans="1:13" ht="12">
      <c r="A61" s="139"/>
      <c r="B61" s="78">
        <v>57</v>
      </c>
      <c r="C61" s="79">
        <f t="shared" si="4"/>
        <v>146194.18291654842</v>
      </c>
      <c r="D61" s="79">
        <f t="shared" si="5"/>
        <v>1800</v>
      </c>
      <c r="E61" s="80">
        <f t="shared" si="9"/>
        <v>1800</v>
      </c>
      <c r="F61" s="79">
        <f t="shared" si="6"/>
        <v>966</v>
      </c>
      <c r="G61" s="79">
        <f t="shared" si="8"/>
        <v>4.41</v>
      </c>
      <c r="H61" s="79">
        <f t="shared" si="7"/>
        <v>3.6750000000000003</v>
      </c>
      <c r="I61" s="79">
        <f t="shared" si="0"/>
        <v>537.2636222183155</v>
      </c>
      <c r="J61" s="79">
        <f t="shared" si="1"/>
        <v>1262.7363777816845</v>
      </c>
      <c r="K61" s="79">
        <f t="shared" si="2"/>
        <v>146731.44653876673</v>
      </c>
      <c r="L61" s="79">
        <f>IF(C61&lt;=0,"还完了",SUM(E$5:E60)+K61)</f>
        <v>247531.44653876673</v>
      </c>
      <c r="M61" s="79">
        <f t="shared" si="3"/>
        <v>37531.44653876673</v>
      </c>
    </row>
    <row r="62" spans="1:13" ht="12">
      <c r="A62" s="139"/>
      <c r="B62" s="78">
        <v>58</v>
      </c>
      <c r="C62" s="79">
        <f t="shared" si="4"/>
        <v>144931.44653876673</v>
      </c>
      <c r="D62" s="79">
        <f t="shared" si="5"/>
        <v>1800</v>
      </c>
      <c r="E62" s="80">
        <f t="shared" si="9"/>
        <v>1800</v>
      </c>
      <c r="F62" s="79">
        <f t="shared" si="6"/>
        <v>966</v>
      </c>
      <c r="G62" s="79">
        <f t="shared" si="8"/>
        <v>4.41</v>
      </c>
      <c r="H62" s="79">
        <f t="shared" si="7"/>
        <v>3.6750000000000003</v>
      </c>
      <c r="I62" s="79">
        <f t="shared" si="0"/>
        <v>532.6230660299677</v>
      </c>
      <c r="J62" s="79">
        <f t="shared" si="1"/>
        <v>1267.3769339700323</v>
      </c>
      <c r="K62" s="79">
        <f t="shared" si="2"/>
        <v>145464.0696047967</v>
      </c>
      <c r="L62" s="79">
        <f>IF(C62&lt;=0,"还完了",SUM(E$5:E61)+K62)</f>
        <v>248064.0696047967</v>
      </c>
      <c r="M62" s="79">
        <f t="shared" si="3"/>
        <v>38064.06960479671</v>
      </c>
    </row>
    <row r="63" spans="1:13" ht="12">
      <c r="A63" s="139"/>
      <c r="B63" s="78">
        <v>59</v>
      </c>
      <c r="C63" s="79">
        <f t="shared" si="4"/>
        <v>143664.0696047967</v>
      </c>
      <c r="D63" s="79">
        <f t="shared" si="5"/>
        <v>1800</v>
      </c>
      <c r="E63" s="80">
        <f t="shared" si="9"/>
        <v>1800</v>
      </c>
      <c r="F63" s="79">
        <f t="shared" si="6"/>
        <v>966</v>
      </c>
      <c r="G63" s="79">
        <f t="shared" si="8"/>
        <v>4.41</v>
      </c>
      <c r="H63" s="79">
        <f t="shared" si="7"/>
        <v>3.6750000000000003</v>
      </c>
      <c r="I63" s="79">
        <f t="shared" si="0"/>
        <v>527.9654557976279</v>
      </c>
      <c r="J63" s="79">
        <f t="shared" si="1"/>
        <v>1272.0345442023722</v>
      </c>
      <c r="K63" s="79">
        <f t="shared" si="2"/>
        <v>144192.03506059432</v>
      </c>
      <c r="L63" s="79">
        <f>IF(C63&lt;=0,"还完了",SUM(E$5:E62)+K63)</f>
        <v>248592.03506059432</v>
      </c>
      <c r="M63" s="79">
        <f t="shared" si="3"/>
        <v>38592.035060594324</v>
      </c>
    </row>
    <row r="64" spans="1:13" ht="12">
      <c r="A64" s="139"/>
      <c r="B64" s="78">
        <v>60</v>
      </c>
      <c r="C64" s="79">
        <f t="shared" si="4"/>
        <v>142392.03506059432</v>
      </c>
      <c r="D64" s="79">
        <f t="shared" si="5"/>
        <v>1800</v>
      </c>
      <c r="E64" s="80">
        <f t="shared" si="9"/>
        <v>1800</v>
      </c>
      <c r="F64" s="79">
        <f t="shared" si="6"/>
        <v>966</v>
      </c>
      <c r="G64" s="79">
        <f t="shared" si="8"/>
        <v>4.41</v>
      </c>
      <c r="H64" s="79">
        <f t="shared" si="7"/>
        <v>3.6750000000000003</v>
      </c>
      <c r="I64" s="79">
        <f t="shared" si="0"/>
        <v>523.2907288476841</v>
      </c>
      <c r="J64" s="79">
        <f t="shared" si="1"/>
        <v>1276.709271152316</v>
      </c>
      <c r="K64" s="79">
        <f t="shared" si="2"/>
        <v>142915.325789442</v>
      </c>
      <c r="L64" s="79">
        <f>IF(C64&lt;=0,"还完了",SUM(E$5:E63)+K64)</f>
        <v>249115.325789442</v>
      </c>
      <c r="M64" s="79">
        <f t="shared" si="3"/>
        <v>39115.325789441995</v>
      </c>
    </row>
    <row r="65" spans="1:13" ht="12">
      <c r="A65" s="139">
        <v>6</v>
      </c>
      <c r="B65" s="78">
        <v>61</v>
      </c>
      <c r="C65" s="79">
        <f t="shared" si="4"/>
        <v>141115.325789442</v>
      </c>
      <c r="D65" s="79">
        <f t="shared" si="5"/>
        <v>1800</v>
      </c>
      <c r="E65" s="80">
        <f t="shared" si="9"/>
        <v>1800</v>
      </c>
      <c r="F65" s="79">
        <f t="shared" si="6"/>
        <v>966</v>
      </c>
      <c r="G65" s="79">
        <f t="shared" si="8"/>
        <v>4.41</v>
      </c>
      <c r="H65" s="79">
        <f t="shared" si="7"/>
        <v>3.6750000000000003</v>
      </c>
      <c r="I65" s="79">
        <f t="shared" si="0"/>
        <v>518.5988222761994</v>
      </c>
      <c r="J65" s="79">
        <f t="shared" si="1"/>
        <v>1281.4011777238006</v>
      </c>
      <c r="K65" s="79">
        <f t="shared" si="2"/>
        <v>141633.9246117182</v>
      </c>
      <c r="L65" s="79">
        <f>IF(C65&lt;=0,"还完了",SUM(E$5:E64)+K65)</f>
        <v>249633.9246117182</v>
      </c>
      <c r="M65" s="79">
        <f t="shared" si="3"/>
        <v>39633.92461171819</v>
      </c>
    </row>
    <row r="66" spans="1:13" ht="12">
      <c r="A66" s="139"/>
      <c r="B66" s="78">
        <v>62</v>
      </c>
      <c r="C66" s="79">
        <f t="shared" si="4"/>
        <v>139833.9246117182</v>
      </c>
      <c r="D66" s="79">
        <f t="shared" si="5"/>
        <v>1800</v>
      </c>
      <c r="E66" s="80">
        <f t="shared" si="9"/>
        <v>1800</v>
      </c>
      <c r="F66" s="79">
        <f t="shared" si="6"/>
        <v>966</v>
      </c>
      <c r="G66" s="79">
        <f t="shared" si="8"/>
        <v>4.41</v>
      </c>
      <c r="H66" s="79">
        <f t="shared" si="7"/>
        <v>3.6750000000000003</v>
      </c>
      <c r="I66" s="79">
        <f t="shared" si="0"/>
        <v>513.8896729480643</v>
      </c>
      <c r="J66" s="79">
        <f t="shared" si="1"/>
        <v>1286.1103270519357</v>
      </c>
      <c r="K66" s="79">
        <f t="shared" si="2"/>
        <v>140347.81428466627</v>
      </c>
      <c r="L66" s="79">
        <f>IF(C66&lt;=0,"还完了",SUM(E$5:E65)+K66)</f>
        <v>250147.81428466627</v>
      </c>
      <c r="M66" s="79">
        <f t="shared" si="3"/>
        <v>40147.81428466627</v>
      </c>
    </row>
    <row r="67" spans="1:13" ht="12">
      <c r="A67" s="139"/>
      <c r="B67" s="78">
        <v>63</v>
      </c>
      <c r="C67" s="79">
        <f t="shared" si="4"/>
        <v>138547.81428466627</v>
      </c>
      <c r="D67" s="79">
        <f t="shared" si="5"/>
        <v>1800</v>
      </c>
      <c r="E67" s="80">
        <f t="shared" si="9"/>
        <v>1800</v>
      </c>
      <c r="F67" s="79">
        <f t="shared" si="6"/>
        <v>966</v>
      </c>
      <c r="G67" s="79">
        <f t="shared" si="8"/>
        <v>4.41</v>
      </c>
      <c r="H67" s="79">
        <f t="shared" si="7"/>
        <v>3.6750000000000003</v>
      </c>
      <c r="I67" s="79">
        <f t="shared" si="0"/>
        <v>509.16321749614855</v>
      </c>
      <c r="J67" s="79">
        <f t="shared" si="1"/>
        <v>1290.8367825038515</v>
      </c>
      <c r="K67" s="79">
        <f t="shared" si="2"/>
        <v>139056.97750216242</v>
      </c>
      <c r="L67" s="79">
        <f>IF(C67&lt;=0,"还完了",SUM(E$5:E66)+K67)</f>
        <v>250656.97750216242</v>
      </c>
      <c r="M67" s="79">
        <f t="shared" si="3"/>
        <v>40656.97750216242</v>
      </c>
    </row>
    <row r="68" spans="1:13" ht="12">
      <c r="A68" s="139"/>
      <c r="B68" s="78">
        <v>64</v>
      </c>
      <c r="C68" s="79">
        <f t="shared" si="4"/>
        <v>137256.97750216242</v>
      </c>
      <c r="D68" s="79">
        <f t="shared" si="5"/>
        <v>1800</v>
      </c>
      <c r="E68" s="80">
        <f t="shared" si="9"/>
        <v>1800</v>
      </c>
      <c r="F68" s="79">
        <f t="shared" si="6"/>
        <v>966</v>
      </c>
      <c r="G68" s="79">
        <f t="shared" si="8"/>
        <v>4.41</v>
      </c>
      <c r="H68" s="79">
        <f t="shared" si="7"/>
        <v>3.6750000000000003</v>
      </c>
      <c r="I68" s="79">
        <f t="shared" si="0"/>
        <v>504.41939232044695</v>
      </c>
      <c r="J68" s="79">
        <f t="shared" si="1"/>
        <v>1295.580607679553</v>
      </c>
      <c r="K68" s="79">
        <f t="shared" si="2"/>
        <v>137761.39689448287</v>
      </c>
      <c r="L68" s="79">
        <f>IF(C68&lt;=0,"还完了",SUM(E$5:E67)+K68)</f>
        <v>251161.39689448287</v>
      </c>
      <c r="M68" s="79">
        <f t="shared" si="3"/>
        <v>41161.39689448287</v>
      </c>
    </row>
    <row r="69" spans="1:13" ht="12">
      <c r="A69" s="139"/>
      <c r="B69" s="78">
        <v>65</v>
      </c>
      <c r="C69" s="79">
        <f t="shared" si="4"/>
        <v>135961.39689448287</v>
      </c>
      <c r="D69" s="79">
        <f t="shared" si="5"/>
        <v>1800</v>
      </c>
      <c r="E69" s="80">
        <f t="shared" si="9"/>
        <v>1800</v>
      </c>
      <c r="F69" s="79">
        <f t="shared" si="6"/>
        <v>966</v>
      </c>
      <c r="G69" s="79">
        <f t="shared" si="8"/>
        <v>4.41</v>
      </c>
      <c r="H69" s="79">
        <f t="shared" si="7"/>
        <v>3.6750000000000003</v>
      </c>
      <c r="I69" s="79">
        <f aca="true" t="shared" si="10" ref="I69:I132">C69*H69/1000</f>
        <v>499.6581335872246</v>
      </c>
      <c r="J69" s="79">
        <f aca="true" t="shared" si="11" ref="J69:J132">IF(C69&lt;=0,"还完了",E69-I69)</f>
        <v>1300.3418664127753</v>
      </c>
      <c r="K69" s="79">
        <f aca="true" t="shared" si="12" ref="K69:K132">IF(C69&lt;=0,"还完了",E69+C70)</f>
        <v>136461.05502807008</v>
      </c>
      <c r="L69" s="79">
        <f>IF(C69&lt;=0,"还完了",SUM(E$5:E68)+K69)</f>
        <v>251661.05502807008</v>
      </c>
      <c r="M69" s="79">
        <f aca="true" t="shared" si="13" ref="M69:M132">IF(C69&lt;=0,"还完了",L69-C$5)</f>
        <v>41661.055028070085</v>
      </c>
    </row>
    <row r="70" spans="1:13" ht="12">
      <c r="A70" s="139"/>
      <c r="B70" s="78">
        <v>66</v>
      </c>
      <c r="C70" s="79">
        <f aca="true" t="shared" si="14" ref="C70:C133">IF(C69&gt;0,C69-J69,0)</f>
        <v>134661.05502807008</v>
      </c>
      <c r="D70" s="79">
        <f aca="true" t="shared" si="15" ref="D70:D133">D69</f>
        <v>1800</v>
      </c>
      <c r="E70" s="80">
        <f t="shared" si="9"/>
        <v>1800</v>
      </c>
      <c r="F70" s="79">
        <f aca="true" t="shared" si="16" ref="F70:G133">F69</f>
        <v>966</v>
      </c>
      <c r="G70" s="79">
        <f t="shared" si="8"/>
        <v>4.41</v>
      </c>
      <c r="H70" s="79">
        <f aca="true" t="shared" si="17" ref="H70:H133">G70/1.2</f>
        <v>3.6750000000000003</v>
      </c>
      <c r="I70" s="79">
        <f t="shared" si="10"/>
        <v>494.8793772281576</v>
      </c>
      <c r="J70" s="79">
        <f t="shared" si="11"/>
        <v>1305.1206227718424</v>
      </c>
      <c r="K70" s="79">
        <f t="shared" si="12"/>
        <v>135155.93440529823</v>
      </c>
      <c r="L70" s="79">
        <f>IF(C70&lt;=0,"还完了",SUM(E$5:E69)+K70)</f>
        <v>252155.93440529823</v>
      </c>
      <c r="M70" s="79">
        <f t="shared" si="13"/>
        <v>42155.934405298234</v>
      </c>
    </row>
    <row r="71" spans="1:13" ht="12">
      <c r="A71" s="139"/>
      <c r="B71" s="78">
        <v>67</v>
      </c>
      <c r="C71" s="79">
        <f t="shared" si="14"/>
        <v>133355.93440529823</v>
      </c>
      <c r="D71" s="79">
        <f t="shared" si="15"/>
        <v>1800</v>
      </c>
      <c r="E71" s="80">
        <f t="shared" si="9"/>
        <v>1800</v>
      </c>
      <c r="F71" s="79">
        <f t="shared" si="16"/>
        <v>966</v>
      </c>
      <c r="G71" s="79">
        <f t="shared" si="8"/>
        <v>4.41</v>
      </c>
      <c r="H71" s="79">
        <f t="shared" si="17"/>
        <v>3.6750000000000003</v>
      </c>
      <c r="I71" s="79">
        <f t="shared" si="10"/>
        <v>490.083058939471</v>
      </c>
      <c r="J71" s="79">
        <f t="shared" si="11"/>
        <v>1309.916941060529</v>
      </c>
      <c r="K71" s="79">
        <f t="shared" si="12"/>
        <v>133846.0174642377</v>
      </c>
      <c r="L71" s="79">
        <f>IF(C71&lt;=0,"还完了",SUM(E$5:E70)+K71)</f>
        <v>252646.0174642377</v>
      </c>
      <c r="M71" s="79">
        <f t="shared" si="13"/>
        <v>42646.017464237695</v>
      </c>
    </row>
    <row r="72" spans="1:13" ht="12">
      <c r="A72" s="139"/>
      <c r="B72" s="78">
        <v>68</v>
      </c>
      <c r="C72" s="79">
        <f t="shared" si="14"/>
        <v>132046.0174642377</v>
      </c>
      <c r="D72" s="79">
        <f t="shared" si="15"/>
        <v>1800</v>
      </c>
      <c r="E72" s="80">
        <f t="shared" si="9"/>
        <v>1800</v>
      </c>
      <c r="F72" s="79">
        <f t="shared" si="16"/>
        <v>966</v>
      </c>
      <c r="G72" s="79">
        <f t="shared" si="16"/>
        <v>4.41</v>
      </c>
      <c r="H72" s="79">
        <f t="shared" si="17"/>
        <v>3.6750000000000003</v>
      </c>
      <c r="I72" s="79">
        <f t="shared" si="10"/>
        <v>485.2691141810736</v>
      </c>
      <c r="J72" s="79">
        <f t="shared" si="11"/>
        <v>1314.7308858189265</v>
      </c>
      <c r="K72" s="79">
        <f t="shared" si="12"/>
        <v>132531.28657841877</v>
      </c>
      <c r="L72" s="79">
        <f>IF(C72&lt;=0,"还完了",SUM(E$5:E71)+K72)</f>
        <v>253131.28657841877</v>
      </c>
      <c r="M72" s="79">
        <f t="shared" si="13"/>
        <v>43131.286578418774</v>
      </c>
    </row>
    <row r="73" spans="1:13" ht="12">
      <c r="A73" s="139"/>
      <c r="B73" s="78">
        <v>69</v>
      </c>
      <c r="C73" s="79">
        <f t="shared" si="14"/>
        <v>130731.28657841877</v>
      </c>
      <c r="D73" s="79">
        <f t="shared" si="15"/>
        <v>1800</v>
      </c>
      <c r="E73" s="80">
        <f t="shared" si="9"/>
        <v>1800</v>
      </c>
      <c r="F73" s="79">
        <f t="shared" si="16"/>
        <v>966</v>
      </c>
      <c r="G73" s="79">
        <f t="shared" si="16"/>
        <v>4.41</v>
      </c>
      <c r="H73" s="79">
        <f t="shared" si="17"/>
        <v>3.6750000000000003</v>
      </c>
      <c r="I73" s="79">
        <f t="shared" si="10"/>
        <v>480.4374781756891</v>
      </c>
      <c r="J73" s="79">
        <f t="shared" si="11"/>
        <v>1319.5625218243108</v>
      </c>
      <c r="K73" s="79">
        <f t="shared" si="12"/>
        <v>131211.72405659448</v>
      </c>
      <c r="L73" s="79">
        <f>IF(C73&lt;=0,"还完了",SUM(E$5:E72)+K73)</f>
        <v>253611.72405659448</v>
      </c>
      <c r="M73" s="79">
        <f t="shared" si="13"/>
        <v>43611.72405659448</v>
      </c>
    </row>
    <row r="74" spans="1:13" ht="12">
      <c r="A74" s="139"/>
      <c r="B74" s="78">
        <v>70</v>
      </c>
      <c r="C74" s="79">
        <f t="shared" si="14"/>
        <v>129411.72405659447</v>
      </c>
      <c r="D74" s="79">
        <f t="shared" si="15"/>
        <v>1800</v>
      </c>
      <c r="E74" s="80">
        <f aca="true" t="shared" si="18" ref="E74:E137">IF(C74&lt;=0,"还完了",D74)</f>
        <v>1800</v>
      </c>
      <c r="F74" s="79">
        <f t="shared" si="16"/>
        <v>966</v>
      </c>
      <c r="G74" s="79">
        <f t="shared" si="16"/>
        <v>4.41</v>
      </c>
      <c r="H74" s="79">
        <f t="shared" si="17"/>
        <v>3.6750000000000003</v>
      </c>
      <c r="I74" s="79">
        <f t="shared" si="10"/>
        <v>475.5880859079847</v>
      </c>
      <c r="J74" s="79">
        <f t="shared" si="11"/>
        <v>1324.4119140920152</v>
      </c>
      <c r="K74" s="79">
        <f t="shared" si="12"/>
        <v>129887.31214250246</v>
      </c>
      <c r="L74" s="79">
        <f>IF(C74&lt;=0,"还完了",SUM(E$5:E73)+K74)</f>
        <v>254087.31214250246</v>
      </c>
      <c r="M74" s="79">
        <f t="shared" si="13"/>
        <v>44087.31214250246</v>
      </c>
    </row>
    <row r="75" spans="1:13" ht="12">
      <c r="A75" s="139"/>
      <c r="B75" s="78">
        <v>71</v>
      </c>
      <c r="C75" s="79">
        <f t="shared" si="14"/>
        <v>128087.31214250246</v>
      </c>
      <c r="D75" s="79">
        <f t="shared" si="15"/>
        <v>1800</v>
      </c>
      <c r="E75" s="80">
        <f t="shared" si="18"/>
        <v>1800</v>
      </c>
      <c r="F75" s="79">
        <f t="shared" si="16"/>
        <v>966</v>
      </c>
      <c r="G75" s="79">
        <f t="shared" si="16"/>
        <v>4.41</v>
      </c>
      <c r="H75" s="79">
        <f t="shared" si="17"/>
        <v>3.6750000000000003</v>
      </c>
      <c r="I75" s="79">
        <f t="shared" si="10"/>
        <v>470.72087212369655</v>
      </c>
      <c r="J75" s="79">
        <f t="shared" si="11"/>
        <v>1329.2791278763034</v>
      </c>
      <c r="K75" s="79">
        <f t="shared" si="12"/>
        <v>128558.03301462615</v>
      </c>
      <c r="L75" s="79">
        <f>IF(C75&lt;=0,"还完了",SUM(E$5:E74)+K75)</f>
        <v>254558.03301462615</v>
      </c>
      <c r="M75" s="79">
        <f t="shared" si="13"/>
        <v>44558.033014626155</v>
      </c>
    </row>
    <row r="76" spans="1:13" ht="12">
      <c r="A76" s="139"/>
      <c r="B76" s="78">
        <v>72</v>
      </c>
      <c r="C76" s="79">
        <f t="shared" si="14"/>
        <v>126758.03301462615</v>
      </c>
      <c r="D76" s="79">
        <f t="shared" si="15"/>
        <v>1800</v>
      </c>
      <c r="E76" s="80">
        <f t="shared" si="18"/>
        <v>1800</v>
      </c>
      <c r="F76" s="79">
        <f t="shared" si="16"/>
        <v>966</v>
      </c>
      <c r="G76" s="79">
        <f t="shared" si="16"/>
        <v>4.41</v>
      </c>
      <c r="H76" s="79">
        <f t="shared" si="17"/>
        <v>3.6750000000000003</v>
      </c>
      <c r="I76" s="79">
        <f t="shared" si="10"/>
        <v>465.83577132875115</v>
      </c>
      <c r="J76" s="79">
        <f t="shared" si="11"/>
        <v>1334.1642286712488</v>
      </c>
      <c r="K76" s="79">
        <f t="shared" si="12"/>
        <v>127223.86878595491</v>
      </c>
      <c r="L76" s="79">
        <f>IF(C76&lt;=0,"还完了",SUM(E$5:E75)+K76)</f>
        <v>255023.8687859549</v>
      </c>
      <c r="M76" s="79">
        <f t="shared" si="13"/>
        <v>45023.868785954895</v>
      </c>
    </row>
    <row r="77" spans="1:13" ht="12">
      <c r="A77" s="139">
        <v>7</v>
      </c>
      <c r="B77" s="78">
        <v>73</v>
      </c>
      <c r="C77" s="79">
        <f t="shared" si="14"/>
        <v>125423.86878595491</v>
      </c>
      <c r="D77" s="79">
        <f t="shared" si="15"/>
        <v>1800</v>
      </c>
      <c r="E77" s="80">
        <f t="shared" si="18"/>
        <v>1800</v>
      </c>
      <c r="F77" s="79">
        <f t="shared" si="16"/>
        <v>966</v>
      </c>
      <c r="G77" s="79">
        <f t="shared" si="16"/>
        <v>4.41</v>
      </c>
      <c r="H77" s="79">
        <f t="shared" si="17"/>
        <v>3.6750000000000003</v>
      </c>
      <c r="I77" s="79">
        <f t="shared" si="10"/>
        <v>460.93271778838437</v>
      </c>
      <c r="J77" s="79">
        <f t="shared" si="11"/>
        <v>1339.0672822116157</v>
      </c>
      <c r="K77" s="79">
        <f t="shared" si="12"/>
        <v>125884.80150374329</v>
      </c>
      <c r="L77" s="79">
        <f>IF(C77&lt;=0,"还完了",SUM(E$5:E76)+K77)</f>
        <v>255484.80150374328</v>
      </c>
      <c r="M77" s="79">
        <f t="shared" si="13"/>
        <v>45484.80150374328</v>
      </c>
    </row>
    <row r="78" spans="1:13" ht="12">
      <c r="A78" s="139"/>
      <c r="B78" s="78">
        <v>74</v>
      </c>
      <c r="C78" s="79">
        <f t="shared" si="14"/>
        <v>124084.80150374329</v>
      </c>
      <c r="D78" s="79">
        <f t="shared" si="15"/>
        <v>1800</v>
      </c>
      <c r="E78" s="80">
        <f t="shared" si="18"/>
        <v>1800</v>
      </c>
      <c r="F78" s="79">
        <f t="shared" si="16"/>
        <v>966</v>
      </c>
      <c r="G78" s="79">
        <f t="shared" si="16"/>
        <v>4.41</v>
      </c>
      <c r="H78" s="79">
        <f t="shared" si="17"/>
        <v>3.6750000000000003</v>
      </c>
      <c r="I78" s="79">
        <f t="shared" si="10"/>
        <v>456.01164552625664</v>
      </c>
      <c r="J78" s="79">
        <f t="shared" si="11"/>
        <v>1343.9883544737434</v>
      </c>
      <c r="K78" s="79">
        <f t="shared" si="12"/>
        <v>124540.81314926955</v>
      </c>
      <c r="L78" s="79">
        <f>IF(C78&lt;=0,"还完了",SUM(E$5:E77)+K78)</f>
        <v>255940.81314926955</v>
      </c>
      <c r="M78" s="79">
        <f t="shared" si="13"/>
        <v>45940.813149269554</v>
      </c>
    </row>
    <row r="79" spans="1:13" ht="12">
      <c r="A79" s="139"/>
      <c r="B79" s="78">
        <v>75</v>
      </c>
      <c r="C79" s="79">
        <f t="shared" si="14"/>
        <v>122740.81314926955</v>
      </c>
      <c r="D79" s="79">
        <f t="shared" si="15"/>
        <v>1800</v>
      </c>
      <c r="E79" s="80">
        <f t="shared" si="18"/>
        <v>1800</v>
      </c>
      <c r="F79" s="79">
        <f t="shared" si="16"/>
        <v>966</v>
      </c>
      <c r="G79" s="79">
        <f t="shared" si="16"/>
        <v>4.41</v>
      </c>
      <c r="H79" s="79">
        <f t="shared" si="17"/>
        <v>3.6750000000000003</v>
      </c>
      <c r="I79" s="79">
        <f t="shared" si="10"/>
        <v>451.0724883235656</v>
      </c>
      <c r="J79" s="79">
        <f t="shared" si="11"/>
        <v>1348.9275116764343</v>
      </c>
      <c r="K79" s="79">
        <f t="shared" si="12"/>
        <v>123191.88563759312</v>
      </c>
      <c r="L79" s="79">
        <f>IF(C79&lt;=0,"还完了",SUM(E$5:E78)+K79)</f>
        <v>256391.8856375931</v>
      </c>
      <c r="M79" s="79">
        <f t="shared" si="13"/>
        <v>46391.88563759311</v>
      </c>
    </row>
    <row r="80" spans="1:13" ht="12">
      <c r="A80" s="139"/>
      <c r="B80" s="78">
        <v>76</v>
      </c>
      <c r="C80" s="79">
        <f t="shared" si="14"/>
        <v>121391.88563759312</v>
      </c>
      <c r="D80" s="79">
        <f t="shared" si="15"/>
        <v>1800</v>
      </c>
      <c r="E80" s="80">
        <f t="shared" si="18"/>
        <v>1800</v>
      </c>
      <c r="F80" s="79">
        <f t="shared" si="16"/>
        <v>966</v>
      </c>
      <c r="G80" s="79">
        <f t="shared" si="16"/>
        <v>4.41</v>
      </c>
      <c r="H80" s="79">
        <f t="shared" si="17"/>
        <v>3.6750000000000003</v>
      </c>
      <c r="I80" s="79">
        <f t="shared" si="10"/>
        <v>446.11517971815476</v>
      </c>
      <c r="J80" s="79">
        <f t="shared" si="11"/>
        <v>1353.8848202818454</v>
      </c>
      <c r="K80" s="79">
        <f t="shared" si="12"/>
        <v>121838.00081731127</v>
      </c>
      <c r="L80" s="79">
        <f>IF(C80&lt;=0,"还完了",SUM(E$5:E79)+K80)</f>
        <v>256838.0008173113</v>
      </c>
      <c r="M80" s="79">
        <f t="shared" si="13"/>
        <v>46838.00081731129</v>
      </c>
    </row>
    <row r="81" spans="1:13" ht="12">
      <c r="A81" s="139"/>
      <c r="B81" s="78">
        <v>77</v>
      </c>
      <c r="C81" s="79">
        <f t="shared" si="14"/>
        <v>120038.00081731127</v>
      </c>
      <c r="D81" s="79">
        <f t="shared" si="15"/>
        <v>1800</v>
      </c>
      <c r="E81" s="80">
        <f t="shared" si="18"/>
        <v>1800</v>
      </c>
      <c r="F81" s="79">
        <f t="shared" si="16"/>
        <v>966</v>
      </c>
      <c r="G81" s="79">
        <f t="shared" si="16"/>
        <v>4.41</v>
      </c>
      <c r="H81" s="79">
        <f t="shared" si="17"/>
        <v>3.6750000000000003</v>
      </c>
      <c r="I81" s="79">
        <f t="shared" si="10"/>
        <v>441.13965300361895</v>
      </c>
      <c r="J81" s="79">
        <f t="shared" si="11"/>
        <v>1358.860346996381</v>
      </c>
      <c r="K81" s="79">
        <f t="shared" si="12"/>
        <v>120479.14047031489</v>
      </c>
      <c r="L81" s="79">
        <f>IF(C81&lt;=0,"还完了",SUM(E$5:E80)+K81)</f>
        <v>257279.1404703149</v>
      </c>
      <c r="M81" s="79">
        <f t="shared" si="13"/>
        <v>47279.14047031489</v>
      </c>
    </row>
    <row r="82" spans="1:13" ht="12">
      <c r="A82" s="139"/>
      <c r="B82" s="78">
        <v>78</v>
      </c>
      <c r="C82" s="79">
        <f t="shared" si="14"/>
        <v>118679.14047031489</v>
      </c>
      <c r="D82" s="79">
        <f t="shared" si="15"/>
        <v>1800</v>
      </c>
      <c r="E82" s="80">
        <f t="shared" si="18"/>
        <v>1800</v>
      </c>
      <c r="F82" s="79">
        <f t="shared" si="16"/>
        <v>966</v>
      </c>
      <c r="G82" s="79">
        <f t="shared" si="16"/>
        <v>4.41</v>
      </c>
      <c r="H82" s="79">
        <f t="shared" si="17"/>
        <v>3.6750000000000003</v>
      </c>
      <c r="I82" s="79">
        <f t="shared" si="10"/>
        <v>436.1458412284072</v>
      </c>
      <c r="J82" s="79">
        <f t="shared" si="11"/>
        <v>1363.8541587715927</v>
      </c>
      <c r="K82" s="79">
        <f t="shared" si="12"/>
        <v>119115.2863115433</v>
      </c>
      <c r="L82" s="79">
        <f>IF(C82&lt;=0,"还完了",SUM(E$5:E81)+K82)</f>
        <v>257715.2863115433</v>
      </c>
      <c r="M82" s="79">
        <f t="shared" si="13"/>
        <v>47715.286311543314</v>
      </c>
    </row>
    <row r="83" spans="1:13" ht="12">
      <c r="A83" s="139"/>
      <c r="B83" s="78">
        <v>79</v>
      </c>
      <c r="C83" s="79">
        <f t="shared" si="14"/>
        <v>117315.2863115433</v>
      </c>
      <c r="D83" s="79">
        <f t="shared" si="15"/>
        <v>1800</v>
      </c>
      <c r="E83" s="80">
        <f t="shared" si="18"/>
        <v>1800</v>
      </c>
      <c r="F83" s="79">
        <f t="shared" si="16"/>
        <v>966</v>
      </c>
      <c r="G83" s="79">
        <f t="shared" si="16"/>
        <v>4.41</v>
      </c>
      <c r="H83" s="79">
        <f t="shared" si="17"/>
        <v>3.6750000000000003</v>
      </c>
      <c r="I83" s="79">
        <f t="shared" si="10"/>
        <v>431.13367719492163</v>
      </c>
      <c r="J83" s="79">
        <f t="shared" si="11"/>
        <v>1368.8663228050784</v>
      </c>
      <c r="K83" s="79">
        <f t="shared" si="12"/>
        <v>117746.41998873823</v>
      </c>
      <c r="L83" s="79">
        <f>IF(C83&lt;=0,"还完了",SUM(E$5:E82)+K83)</f>
        <v>258146.41998873823</v>
      </c>
      <c r="M83" s="79">
        <f t="shared" si="13"/>
        <v>48146.41998873823</v>
      </c>
    </row>
    <row r="84" spans="1:13" ht="12">
      <c r="A84" s="139"/>
      <c r="B84" s="78">
        <v>80</v>
      </c>
      <c r="C84" s="79">
        <f t="shared" si="14"/>
        <v>115946.41998873823</v>
      </c>
      <c r="D84" s="79">
        <f t="shared" si="15"/>
        <v>1800</v>
      </c>
      <c r="E84" s="80">
        <f t="shared" si="18"/>
        <v>1800</v>
      </c>
      <c r="F84" s="79">
        <f t="shared" si="16"/>
        <v>966</v>
      </c>
      <c r="G84" s="79">
        <f t="shared" si="16"/>
        <v>4.41</v>
      </c>
      <c r="H84" s="79">
        <f t="shared" si="17"/>
        <v>3.6750000000000003</v>
      </c>
      <c r="I84" s="79">
        <f t="shared" si="10"/>
        <v>426.10309345861305</v>
      </c>
      <c r="J84" s="79">
        <f t="shared" si="11"/>
        <v>1373.896906541387</v>
      </c>
      <c r="K84" s="79">
        <f t="shared" si="12"/>
        <v>116372.52308219684</v>
      </c>
      <c r="L84" s="79">
        <f>IF(C84&lt;=0,"还完了",SUM(E$5:E83)+K84)</f>
        <v>258572.52308219683</v>
      </c>
      <c r="M84" s="79">
        <f t="shared" si="13"/>
        <v>48572.52308219683</v>
      </c>
    </row>
    <row r="85" spans="1:13" ht="12">
      <c r="A85" s="139"/>
      <c r="B85" s="78">
        <v>81</v>
      </c>
      <c r="C85" s="79">
        <f t="shared" si="14"/>
        <v>114572.52308219684</v>
      </c>
      <c r="D85" s="79">
        <f t="shared" si="15"/>
        <v>1800</v>
      </c>
      <c r="E85" s="80">
        <f t="shared" si="18"/>
        <v>1800</v>
      </c>
      <c r="F85" s="79">
        <f t="shared" si="16"/>
        <v>966</v>
      </c>
      <c r="G85" s="79">
        <f t="shared" si="16"/>
        <v>4.41</v>
      </c>
      <c r="H85" s="79">
        <f t="shared" si="17"/>
        <v>3.6750000000000003</v>
      </c>
      <c r="I85" s="79">
        <f t="shared" si="10"/>
        <v>421.0540223270734</v>
      </c>
      <c r="J85" s="79">
        <f t="shared" si="11"/>
        <v>1378.9459776729266</v>
      </c>
      <c r="K85" s="79">
        <f t="shared" si="12"/>
        <v>114993.57710452392</v>
      </c>
      <c r="L85" s="79">
        <f>IF(C85&lt;=0,"还完了",SUM(E$5:E84)+K85)</f>
        <v>258993.57710452392</v>
      </c>
      <c r="M85" s="79">
        <f t="shared" si="13"/>
        <v>48993.57710452392</v>
      </c>
    </row>
    <row r="86" spans="1:13" ht="12">
      <c r="A86" s="139"/>
      <c r="B86" s="78">
        <v>82</v>
      </c>
      <c r="C86" s="79">
        <f t="shared" si="14"/>
        <v>113193.57710452392</v>
      </c>
      <c r="D86" s="79">
        <f t="shared" si="15"/>
        <v>1800</v>
      </c>
      <c r="E86" s="80">
        <f t="shared" si="18"/>
        <v>1800</v>
      </c>
      <c r="F86" s="79">
        <f t="shared" si="16"/>
        <v>966</v>
      </c>
      <c r="G86" s="79">
        <f t="shared" si="16"/>
        <v>4.41</v>
      </c>
      <c r="H86" s="79">
        <f t="shared" si="17"/>
        <v>3.6750000000000003</v>
      </c>
      <c r="I86" s="79">
        <f t="shared" si="10"/>
        <v>415.9863958591255</v>
      </c>
      <c r="J86" s="79">
        <f t="shared" si="11"/>
        <v>1384.0136041408746</v>
      </c>
      <c r="K86" s="79">
        <f t="shared" si="12"/>
        <v>113609.56350038305</v>
      </c>
      <c r="L86" s="79">
        <f>IF(C86&lt;=0,"还完了",SUM(E$5:E85)+K86)</f>
        <v>259409.56350038305</v>
      </c>
      <c r="M86" s="79">
        <f t="shared" si="13"/>
        <v>49409.563500383054</v>
      </c>
    </row>
    <row r="87" spans="1:13" ht="12">
      <c r="A87" s="139"/>
      <c r="B87" s="78">
        <v>83</v>
      </c>
      <c r="C87" s="79">
        <f t="shared" si="14"/>
        <v>111809.56350038305</v>
      </c>
      <c r="D87" s="79">
        <f t="shared" si="15"/>
        <v>1800</v>
      </c>
      <c r="E87" s="80">
        <f t="shared" si="18"/>
        <v>1800</v>
      </c>
      <c r="F87" s="79">
        <f t="shared" si="16"/>
        <v>966</v>
      </c>
      <c r="G87" s="79">
        <f t="shared" si="16"/>
        <v>4.41</v>
      </c>
      <c r="H87" s="79">
        <f t="shared" si="17"/>
        <v>3.6750000000000003</v>
      </c>
      <c r="I87" s="79">
        <f t="shared" si="10"/>
        <v>410.90014586390777</v>
      </c>
      <c r="J87" s="79">
        <f t="shared" si="11"/>
        <v>1389.0998541360923</v>
      </c>
      <c r="K87" s="79">
        <f t="shared" si="12"/>
        <v>112220.46364624696</v>
      </c>
      <c r="L87" s="79">
        <f>IF(C87&lt;=0,"还完了",SUM(E$5:E86)+K87)</f>
        <v>259820.46364624696</v>
      </c>
      <c r="M87" s="79">
        <f t="shared" si="13"/>
        <v>49820.463646246964</v>
      </c>
    </row>
    <row r="88" spans="1:13" ht="12">
      <c r="A88" s="139"/>
      <c r="B88" s="78">
        <v>84</v>
      </c>
      <c r="C88" s="79">
        <f t="shared" si="14"/>
        <v>110420.46364624696</v>
      </c>
      <c r="D88" s="79">
        <f t="shared" si="15"/>
        <v>1800</v>
      </c>
      <c r="E88" s="80">
        <f t="shared" si="18"/>
        <v>1800</v>
      </c>
      <c r="F88" s="79">
        <f t="shared" si="16"/>
        <v>966</v>
      </c>
      <c r="G88" s="79">
        <f t="shared" si="16"/>
        <v>4.41</v>
      </c>
      <c r="H88" s="79">
        <f t="shared" si="17"/>
        <v>3.6750000000000003</v>
      </c>
      <c r="I88" s="79">
        <f t="shared" si="10"/>
        <v>405.79520389995764</v>
      </c>
      <c r="J88" s="79">
        <f t="shared" si="11"/>
        <v>1394.2047961000424</v>
      </c>
      <c r="K88" s="79">
        <f t="shared" si="12"/>
        <v>110826.25885014693</v>
      </c>
      <c r="L88" s="79">
        <f>IF(C88&lt;=0,"还完了",SUM(E$5:E87)+K88)</f>
        <v>260226.25885014693</v>
      </c>
      <c r="M88" s="79">
        <f t="shared" si="13"/>
        <v>50226.25885014693</v>
      </c>
    </row>
    <row r="89" spans="1:13" ht="12">
      <c r="A89" s="139">
        <v>8</v>
      </c>
      <c r="B89" s="78">
        <v>85</v>
      </c>
      <c r="C89" s="79">
        <f t="shared" si="14"/>
        <v>109026.25885014693</v>
      </c>
      <c r="D89" s="79">
        <f t="shared" si="15"/>
        <v>1800</v>
      </c>
      <c r="E89" s="80">
        <f t="shared" si="18"/>
        <v>1800</v>
      </c>
      <c r="F89" s="79">
        <f t="shared" si="16"/>
        <v>966</v>
      </c>
      <c r="G89" s="79">
        <f t="shared" si="16"/>
        <v>4.41</v>
      </c>
      <c r="H89" s="79">
        <f t="shared" si="17"/>
        <v>3.6750000000000003</v>
      </c>
      <c r="I89" s="79">
        <f t="shared" si="10"/>
        <v>400.67150127429</v>
      </c>
      <c r="J89" s="79">
        <f t="shared" si="11"/>
        <v>1399.32849872571</v>
      </c>
      <c r="K89" s="79">
        <f t="shared" si="12"/>
        <v>109426.93035142122</v>
      </c>
      <c r="L89" s="79">
        <f>IF(C89&lt;=0,"还完了",SUM(E$5:E88)+K89)</f>
        <v>260626.93035142124</v>
      </c>
      <c r="M89" s="79">
        <f t="shared" si="13"/>
        <v>50626.93035142124</v>
      </c>
    </row>
    <row r="90" spans="1:13" ht="12">
      <c r="A90" s="139"/>
      <c r="B90" s="78">
        <v>86</v>
      </c>
      <c r="C90" s="79">
        <f t="shared" si="14"/>
        <v>107626.93035142122</v>
      </c>
      <c r="D90" s="79">
        <f t="shared" si="15"/>
        <v>1800</v>
      </c>
      <c r="E90" s="80">
        <f t="shared" si="18"/>
        <v>1800</v>
      </c>
      <c r="F90" s="79">
        <f t="shared" si="16"/>
        <v>966</v>
      </c>
      <c r="G90" s="79">
        <f t="shared" si="16"/>
        <v>4.41</v>
      </c>
      <c r="H90" s="79">
        <f t="shared" si="17"/>
        <v>3.6750000000000003</v>
      </c>
      <c r="I90" s="79">
        <f t="shared" si="10"/>
        <v>395.528969041473</v>
      </c>
      <c r="J90" s="79">
        <f t="shared" si="11"/>
        <v>1404.471030958527</v>
      </c>
      <c r="K90" s="79">
        <f t="shared" si="12"/>
        <v>108022.4593204627</v>
      </c>
      <c r="L90" s="79">
        <f>IF(C90&lt;=0,"还完了",SUM(E$5:E89)+K90)</f>
        <v>261022.45932046272</v>
      </c>
      <c r="M90" s="79">
        <f t="shared" si="13"/>
        <v>51022.459320462716</v>
      </c>
    </row>
    <row r="91" spans="1:13" ht="12">
      <c r="A91" s="139"/>
      <c r="B91" s="78">
        <v>87</v>
      </c>
      <c r="C91" s="79">
        <f t="shared" si="14"/>
        <v>106222.4593204627</v>
      </c>
      <c r="D91" s="79">
        <f t="shared" si="15"/>
        <v>1800</v>
      </c>
      <c r="E91" s="80">
        <f t="shared" si="18"/>
        <v>1800</v>
      </c>
      <c r="F91" s="79">
        <f t="shared" si="16"/>
        <v>966</v>
      </c>
      <c r="G91" s="79">
        <f t="shared" si="16"/>
        <v>4.41</v>
      </c>
      <c r="H91" s="79">
        <f t="shared" si="17"/>
        <v>3.6750000000000003</v>
      </c>
      <c r="I91" s="79">
        <f t="shared" si="10"/>
        <v>390.3675380027004</v>
      </c>
      <c r="J91" s="79">
        <f t="shared" si="11"/>
        <v>1409.6324619972995</v>
      </c>
      <c r="K91" s="79">
        <f t="shared" si="12"/>
        <v>106612.8268584654</v>
      </c>
      <c r="L91" s="79">
        <f>IF(C91&lt;=0,"还完了",SUM(E$5:E90)+K91)</f>
        <v>261412.82685846539</v>
      </c>
      <c r="M91" s="79">
        <f t="shared" si="13"/>
        <v>51412.826858465385</v>
      </c>
    </row>
    <row r="92" spans="1:13" ht="12">
      <c r="A92" s="139"/>
      <c r="B92" s="78">
        <v>88</v>
      </c>
      <c r="C92" s="79">
        <f t="shared" si="14"/>
        <v>104812.8268584654</v>
      </c>
      <c r="D92" s="79">
        <f t="shared" si="15"/>
        <v>1800</v>
      </c>
      <c r="E92" s="80">
        <f t="shared" si="18"/>
        <v>1800</v>
      </c>
      <c r="F92" s="79">
        <f t="shared" si="16"/>
        <v>966</v>
      </c>
      <c r="G92" s="79">
        <f t="shared" si="16"/>
        <v>4.41</v>
      </c>
      <c r="H92" s="79">
        <f t="shared" si="17"/>
        <v>3.6750000000000003</v>
      </c>
      <c r="I92" s="79">
        <f t="shared" si="10"/>
        <v>385.18713870486033</v>
      </c>
      <c r="J92" s="79">
        <f t="shared" si="11"/>
        <v>1414.8128612951396</v>
      </c>
      <c r="K92" s="79">
        <f t="shared" si="12"/>
        <v>105198.01399717026</v>
      </c>
      <c r="L92" s="79">
        <f>IF(C92&lt;=0,"还完了",SUM(E$5:E91)+K92)</f>
        <v>261798.01399717026</v>
      </c>
      <c r="M92" s="79">
        <f t="shared" si="13"/>
        <v>51798.01399717026</v>
      </c>
    </row>
    <row r="93" spans="1:13" ht="12">
      <c r="A93" s="139"/>
      <c r="B93" s="78">
        <v>89</v>
      </c>
      <c r="C93" s="79">
        <f t="shared" si="14"/>
        <v>103398.01399717026</v>
      </c>
      <c r="D93" s="79">
        <f t="shared" si="15"/>
        <v>1800</v>
      </c>
      <c r="E93" s="80">
        <f t="shared" si="18"/>
        <v>1800</v>
      </c>
      <c r="F93" s="79">
        <f t="shared" si="16"/>
        <v>966</v>
      </c>
      <c r="G93" s="79">
        <f t="shared" si="16"/>
        <v>4.41</v>
      </c>
      <c r="H93" s="79">
        <f t="shared" si="17"/>
        <v>3.6750000000000003</v>
      </c>
      <c r="I93" s="79">
        <f t="shared" si="10"/>
        <v>379.98770143960076</v>
      </c>
      <c r="J93" s="79">
        <f t="shared" si="11"/>
        <v>1420.0122985603994</v>
      </c>
      <c r="K93" s="79">
        <f t="shared" si="12"/>
        <v>103778.00169860986</v>
      </c>
      <c r="L93" s="79">
        <f>IF(C93&lt;=0,"还完了",SUM(E$5:E92)+K93)</f>
        <v>262178.00169860985</v>
      </c>
      <c r="M93" s="79">
        <f t="shared" si="13"/>
        <v>52178.00169860985</v>
      </c>
    </row>
    <row r="94" spans="1:13" ht="12">
      <c r="A94" s="139"/>
      <c r="B94" s="78">
        <v>90</v>
      </c>
      <c r="C94" s="79">
        <f t="shared" si="14"/>
        <v>101978.00169860986</v>
      </c>
      <c r="D94" s="79">
        <f t="shared" si="15"/>
        <v>1800</v>
      </c>
      <c r="E94" s="80">
        <f t="shared" si="18"/>
        <v>1800</v>
      </c>
      <c r="F94" s="79">
        <f t="shared" si="16"/>
        <v>966</v>
      </c>
      <c r="G94" s="79">
        <f t="shared" si="16"/>
        <v>4.41</v>
      </c>
      <c r="H94" s="79">
        <f t="shared" si="17"/>
        <v>3.6750000000000003</v>
      </c>
      <c r="I94" s="79">
        <f t="shared" si="10"/>
        <v>374.76915624239126</v>
      </c>
      <c r="J94" s="79">
        <f t="shared" si="11"/>
        <v>1425.2308437576087</v>
      </c>
      <c r="K94" s="79">
        <f t="shared" si="12"/>
        <v>102352.77085485225</v>
      </c>
      <c r="L94" s="79">
        <f>IF(C94&lt;=0,"还完了",SUM(E$5:E93)+K94)</f>
        <v>262552.7708548523</v>
      </c>
      <c r="M94" s="79">
        <f t="shared" si="13"/>
        <v>52552.77085485228</v>
      </c>
    </row>
    <row r="95" spans="1:13" ht="12">
      <c r="A95" s="139"/>
      <c r="B95" s="78">
        <v>91</v>
      </c>
      <c r="C95" s="79">
        <f t="shared" si="14"/>
        <v>100552.77085485225</v>
      </c>
      <c r="D95" s="79">
        <f t="shared" si="15"/>
        <v>1800</v>
      </c>
      <c r="E95" s="80">
        <f t="shared" si="18"/>
        <v>1800</v>
      </c>
      <c r="F95" s="79">
        <f t="shared" si="16"/>
        <v>966</v>
      </c>
      <c r="G95" s="79">
        <f t="shared" si="16"/>
        <v>4.41</v>
      </c>
      <c r="H95" s="79">
        <f t="shared" si="17"/>
        <v>3.6750000000000003</v>
      </c>
      <c r="I95" s="79">
        <f t="shared" si="10"/>
        <v>369.531432891582</v>
      </c>
      <c r="J95" s="79">
        <f t="shared" si="11"/>
        <v>1430.468567108418</v>
      </c>
      <c r="K95" s="79">
        <f t="shared" si="12"/>
        <v>100922.30228774383</v>
      </c>
      <c r="L95" s="79">
        <f>IF(C95&lt;=0,"还完了",SUM(E$5:E94)+K95)</f>
        <v>262922.30228774383</v>
      </c>
      <c r="M95" s="79">
        <f t="shared" si="13"/>
        <v>52922.302287743834</v>
      </c>
    </row>
    <row r="96" spans="1:13" ht="12">
      <c r="A96" s="139"/>
      <c r="B96" s="78">
        <v>92</v>
      </c>
      <c r="C96" s="79">
        <f t="shared" si="14"/>
        <v>99122.30228774383</v>
      </c>
      <c r="D96" s="79">
        <f t="shared" si="15"/>
        <v>1800</v>
      </c>
      <c r="E96" s="80">
        <f t="shared" si="18"/>
        <v>1800</v>
      </c>
      <c r="F96" s="79">
        <f t="shared" si="16"/>
        <v>966</v>
      </c>
      <c r="G96" s="79">
        <f t="shared" si="16"/>
        <v>4.41</v>
      </c>
      <c r="H96" s="79">
        <f t="shared" si="17"/>
        <v>3.6750000000000003</v>
      </c>
      <c r="I96" s="79">
        <f t="shared" si="10"/>
        <v>364.2744609074586</v>
      </c>
      <c r="J96" s="79">
        <f t="shared" si="11"/>
        <v>1435.7255390925413</v>
      </c>
      <c r="K96" s="79">
        <f t="shared" si="12"/>
        <v>99486.57674865129</v>
      </c>
      <c r="L96" s="79">
        <f>IF(C96&lt;=0,"还完了",SUM(E$5:E95)+K96)</f>
        <v>263286.5767486513</v>
      </c>
      <c r="M96" s="79">
        <f t="shared" si="13"/>
        <v>53286.57674865128</v>
      </c>
    </row>
    <row r="97" spans="1:13" ht="12">
      <c r="A97" s="139"/>
      <c r="B97" s="78">
        <v>93</v>
      </c>
      <c r="C97" s="79">
        <f t="shared" si="14"/>
        <v>97686.57674865129</v>
      </c>
      <c r="D97" s="79">
        <f t="shared" si="15"/>
        <v>1800</v>
      </c>
      <c r="E97" s="80">
        <f t="shared" si="18"/>
        <v>1800</v>
      </c>
      <c r="F97" s="79">
        <f t="shared" si="16"/>
        <v>966</v>
      </c>
      <c r="G97" s="79">
        <f t="shared" si="16"/>
        <v>4.41</v>
      </c>
      <c r="H97" s="79">
        <f t="shared" si="17"/>
        <v>3.6750000000000003</v>
      </c>
      <c r="I97" s="79">
        <f t="shared" si="10"/>
        <v>358.99816955129353</v>
      </c>
      <c r="J97" s="79">
        <f t="shared" si="11"/>
        <v>1441.0018304487064</v>
      </c>
      <c r="K97" s="79">
        <f t="shared" si="12"/>
        <v>98045.57491820259</v>
      </c>
      <c r="L97" s="79">
        <f>IF(C97&lt;=0,"还完了",SUM(E$5:E96)+K97)</f>
        <v>263645.5749182026</v>
      </c>
      <c r="M97" s="79">
        <f t="shared" si="13"/>
        <v>53645.57491820259</v>
      </c>
    </row>
    <row r="98" spans="1:13" ht="12">
      <c r="A98" s="139"/>
      <c r="B98" s="78">
        <v>94</v>
      </c>
      <c r="C98" s="79">
        <f t="shared" si="14"/>
        <v>96245.57491820259</v>
      </c>
      <c r="D98" s="79">
        <f t="shared" si="15"/>
        <v>1800</v>
      </c>
      <c r="E98" s="80">
        <f t="shared" si="18"/>
        <v>1800</v>
      </c>
      <c r="F98" s="79">
        <f t="shared" si="16"/>
        <v>966</v>
      </c>
      <c r="G98" s="79">
        <f t="shared" si="16"/>
        <v>4.41</v>
      </c>
      <c r="H98" s="79">
        <f t="shared" si="17"/>
        <v>3.6750000000000003</v>
      </c>
      <c r="I98" s="79">
        <f t="shared" si="10"/>
        <v>353.70248782439455</v>
      </c>
      <c r="J98" s="79">
        <f t="shared" si="11"/>
        <v>1446.2975121756053</v>
      </c>
      <c r="K98" s="79">
        <f t="shared" si="12"/>
        <v>96599.27740602699</v>
      </c>
      <c r="L98" s="79">
        <f>IF(C98&lt;=0,"还完了",SUM(E$5:E97)+K98)</f>
        <v>263999.27740602696</v>
      </c>
      <c r="M98" s="79">
        <f t="shared" si="13"/>
        <v>53999.27740602696</v>
      </c>
    </row>
    <row r="99" spans="1:13" ht="12">
      <c r="A99" s="139"/>
      <c r="B99" s="78">
        <v>95</v>
      </c>
      <c r="C99" s="79">
        <f t="shared" si="14"/>
        <v>94799.27740602699</v>
      </c>
      <c r="D99" s="79">
        <f t="shared" si="15"/>
        <v>1800</v>
      </c>
      <c r="E99" s="80">
        <f t="shared" si="18"/>
        <v>1800</v>
      </c>
      <c r="F99" s="79">
        <f t="shared" si="16"/>
        <v>966</v>
      </c>
      <c r="G99" s="79">
        <f t="shared" si="16"/>
        <v>4.41</v>
      </c>
      <c r="H99" s="79">
        <f t="shared" si="17"/>
        <v>3.6750000000000003</v>
      </c>
      <c r="I99" s="79">
        <f t="shared" si="10"/>
        <v>348.3873444671492</v>
      </c>
      <c r="J99" s="79">
        <f t="shared" si="11"/>
        <v>1451.6126555328508</v>
      </c>
      <c r="K99" s="79">
        <f t="shared" si="12"/>
        <v>95147.66475049414</v>
      </c>
      <c r="L99" s="79">
        <f>IF(C99&lt;=0,"还完了",SUM(E$5:E98)+K99)</f>
        <v>264347.6647504941</v>
      </c>
      <c r="M99" s="79">
        <f t="shared" si="13"/>
        <v>54347.66475049412</v>
      </c>
    </row>
    <row r="100" spans="1:13" ht="12">
      <c r="A100" s="139"/>
      <c r="B100" s="78">
        <v>96</v>
      </c>
      <c r="C100" s="79">
        <f t="shared" si="14"/>
        <v>93347.66475049414</v>
      </c>
      <c r="D100" s="79">
        <f t="shared" si="15"/>
        <v>1800</v>
      </c>
      <c r="E100" s="80">
        <f t="shared" si="18"/>
        <v>1800</v>
      </c>
      <c r="F100" s="79">
        <f t="shared" si="16"/>
        <v>966</v>
      </c>
      <c r="G100" s="79">
        <f t="shared" si="16"/>
        <v>4.41</v>
      </c>
      <c r="H100" s="79">
        <f t="shared" si="17"/>
        <v>3.6750000000000003</v>
      </c>
      <c r="I100" s="79">
        <f t="shared" si="10"/>
        <v>343.05266795806597</v>
      </c>
      <c r="J100" s="79">
        <f t="shared" si="11"/>
        <v>1456.947332041934</v>
      </c>
      <c r="K100" s="79">
        <f t="shared" si="12"/>
        <v>93690.7174184522</v>
      </c>
      <c r="L100" s="79">
        <f>IF(C100&lt;=0,"还完了",SUM(E$5:E99)+K100)</f>
        <v>264690.7174184522</v>
      </c>
      <c r="M100" s="79">
        <f t="shared" si="13"/>
        <v>54690.7174184522</v>
      </c>
    </row>
    <row r="101" spans="1:13" ht="12">
      <c r="A101" s="139">
        <v>9</v>
      </c>
      <c r="B101" s="78">
        <v>97</v>
      </c>
      <c r="C101" s="79">
        <f t="shared" si="14"/>
        <v>91890.7174184522</v>
      </c>
      <c r="D101" s="79">
        <f t="shared" si="15"/>
        <v>1800</v>
      </c>
      <c r="E101" s="80">
        <f t="shared" si="18"/>
        <v>1800</v>
      </c>
      <c r="F101" s="79">
        <f t="shared" si="16"/>
        <v>966</v>
      </c>
      <c r="G101" s="79">
        <f t="shared" si="16"/>
        <v>4.41</v>
      </c>
      <c r="H101" s="79">
        <f t="shared" si="17"/>
        <v>3.6750000000000003</v>
      </c>
      <c r="I101" s="79">
        <f t="shared" si="10"/>
        <v>337.69838651281185</v>
      </c>
      <c r="J101" s="79">
        <f t="shared" si="11"/>
        <v>1462.3016134871882</v>
      </c>
      <c r="K101" s="79">
        <f t="shared" si="12"/>
        <v>92228.41580496501</v>
      </c>
      <c r="L101" s="79">
        <f>IF(C101&lt;=0,"还完了",SUM(E$5:E100)+K101)</f>
        <v>265028.415804965</v>
      </c>
      <c r="M101" s="79">
        <f t="shared" si="13"/>
        <v>55028.415804965014</v>
      </c>
    </row>
    <row r="102" spans="1:13" ht="12">
      <c r="A102" s="139"/>
      <c r="B102" s="78">
        <v>98</v>
      </c>
      <c r="C102" s="79">
        <f t="shared" si="14"/>
        <v>90428.41580496501</v>
      </c>
      <c r="D102" s="79">
        <f t="shared" si="15"/>
        <v>1800</v>
      </c>
      <c r="E102" s="80">
        <f t="shared" si="18"/>
        <v>1800</v>
      </c>
      <c r="F102" s="79">
        <f t="shared" si="16"/>
        <v>966</v>
      </c>
      <c r="G102" s="79">
        <f t="shared" si="16"/>
        <v>4.41</v>
      </c>
      <c r="H102" s="79">
        <f t="shared" si="17"/>
        <v>3.6750000000000003</v>
      </c>
      <c r="I102" s="79">
        <f t="shared" si="10"/>
        <v>332.32442808324646</v>
      </c>
      <c r="J102" s="79">
        <f t="shared" si="11"/>
        <v>1467.6755719167536</v>
      </c>
      <c r="K102" s="79">
        <f t="shared" si="12"/>
        <v>90760.74023304826</v>
      </c>
      <c r="L102" s="79">
        <f>IF(C102&lt;=0,"还完了",SUM(E$5:E101)+K102)</f>
        <v>265360.7402330483</v>
      </c>
      <c r="M102" s="79">
        <f t="shared" si="13"/>
        <v>55360.74023304827</v>
      </c>
    </row>
    <row r="103" spans="1:13" ht="12">
      <c r="A103" s="139"/>
      <c r="B103" s="78">
        <v>99</v>
      </c>
      <c r="C103" s="79">
        <f t="shared" si="14"/>
        <v>88960.74023304826</v>
      </c>
      <c r="D103" s="79">
        <f t="shared" si="15"/>
        <v>1800</v>
      </c>
      <c r="E103" s="80">
        <f t="shared" si="18"/>
        <v>1800</v>
      </c>
      <c r="F103" s="79">
        <f t="shared" si="16"/>
        <v>966</v>
      </c>
      <c r="G103" s="79">
        <f t="shared" si="16"/>
        <v>4.41</v>
      </c>
      <c r="H103" s="79">
        <f t="shared" si="17"/>
        <v>3.6750000000000003</v>
      </c>
      <c r="I103" s="79">
        <f t="shared" si="10"/>
        <v>326.9307203564524</v>
      </c>
      <c r="J103" s="79">
        <f t="shared" si="11"/>
        <v>1473.0692796435476</v>
      </c>
      <c r="K103" s="79">
        <f t="shared" si="12"/>
        <v>89287.67095340471</v>
      </c>
      <c r="L103" s="79">
        <f>IF(C103&lt;=0,"还完了",SUM(E$5:E102)+K103)</f>
        <v>265687.67095340474</v>
      </c>
      <c r="M103" s="79">
        <f t="shared" si="13"/>
        <v>55687.67095340474</v>
      </c>
    </row>
    <row r="104" spans="1:13" ht="12">
      <c r="A104" s="139"/>
      <c r="B104" s="78">
        <v>100</v>
      </c>
      <c r="C104" s="79">
        <f t="shared" si="14"/>
        <v>87487.67095340471</v>
      </c>
      <c r="D104" s="79">
        <f t="shared" si="15"/>
        <v>1800</v>
      </c>
      <c r="E104" s="80">
        <f t="shared" si="18"/>
        <v>1800</v>
      </c>
      <c r="F104" s="79">
        <f t="shared" si="16"/>
        <v>966</v>
      </c>
      <c r="G104" s="79">
        <f t="shared" si="16"/>
        <v>4.41</v>
      </c>
      <c r="H104" s="79">
        <f t="shared" si="17"/>
        <v>3.6750000000000003</v>
      </c>
      <c r="I104" s="79">
        <f t="shared" si="10"/>
        <v>321.5171907537623</v>
      </c>
      <c r="J104" s="79">
        <f t="shared" si="11"/>
        <v>1478.4828092462376</v>
      </c>
      <c r="K104" s="79">
        <f t="shared" si="12"/>
        <v>87809.18814415847</v>
      </c>
      <c r="L104" s="79">
        <f>IF(C104&lt;=0,"还完了",SUM(E$5:E103)+K104)</f>
        <v>266009.18814415846</v>
      </c>
      <c r="M104" s="79">
        <f t="shared" si="13"/>
        <v>56009.188144158456</v>
      </c>
    </row>
    <row r="105" spans="1:13" ht="12">
      <c r="A105" s="139"/>
      <c r="B105" s="78">
        <v>101</v>
      </c>
      <c r="C105" s="79">
        <f t="shared" si="14"/>
        <v>86009.18814415847</v>
      </c>
      <c r="D105" s="79">
        <f t="shared" si="15"/>
        <v>1800</v>
      </c>
      <c r="E105" s="80">
        <f t="shared" si="18"/>
        <v>1800</v>
      </c>
      <c r="F105" s="79">
        <f t="shared" si="16"/>
        <v>966</v>
      </c>
      <c r="G105" s="79">
        <f t="shared" si="16"/>
        <v>4.41</v>
      </c>
      <c r="H105" s="79">
        <f t="shared" si="17"/>
        <v>3.6750000000000003</v>
      </c>
      <c r="I105" s="79">
        <f t="shared" si="10"/>
        <v>316.0837664297824</v>
      </c>
      <c r="J105" s="79">
        <f t="shared" si="11"/>
        <v>1483.9162335702176</v>
      </c>
      <c r="K105" s="79">
        <f t="shared" si="12"/>
        <v>86325.27191058826</v>
      </c>
      <c r="L105" s="79">
        <f>IF(C105&lt;=0,"还完了",SUM(E$5:E104)+K105)</f>
        <v>266325.27191058826</v>
      </c>
      <c r="M105" s="79">
        <f t="shared" si="13"/>
        <v>56325.27191058826</v>
      </c>
    </row>
    <row r="106" spans="1:13" ht="12">
      <c r="A106" s="139"/>
      <c r="B106" s="78">
        <v>102</v>
      </c>
      <c r="C106" s="79">
        <f t="shared" si="14"/>
        <v>84525.27191058826</v>
      </c>
      <c r="D106" s="79">
        <f t="shared" si="15"/>
        <v>1800</v>
      </c>
      <c r="E106" s="80">
        <f t="shared" si="18"/>
        <v>1800</v>
      </c>
      <c r="F106" s="79">
        <f t="shared" si="16"/>
        <v>966</v>
      </c>
      <c r="G106" s="79">
        <f t="shared" si="16"/>
        <v>4.41</v>
      </c>
      <c r="H106" s="79">
        <f t="shared" si="17"/>
        <v>3.6750000000000003</v>
      </c>
      <c r="I106" s="79">
        <f t="shared" si="10"/>
        <v>310.6303742714119</v>
      </c>
      <c r="J106" s="79">
        <f t="shared" si="11"/>
        <v>1489.369625728588</v>
      </c>
      <c r="K106" s="79">
        <f t="shared" si="12"/>
        <v>84835.90228485967</v>
      </c>
      <c r="L106" s="79">
        <f>IF(C106&lt;=0,"还完了",SUM(E$5:E105)+K106)</f>
        <v>266635.9022848597</v>
      </c>
      <c r="M106" s="79">
        <f t="shared" si="13"/>
        <v>56635.90228485968</v>
      </c>
    </row>
    <row r="107" spans="1:13" ht="12">
      <c r="A107" s="139"/>
      <c r="B107" s="78">
        <v>103</v>
      </c>
      <c r="C107" s="79">
        <f t="shared" si="14"/>
        <v>83035.90228485967</v>
      </c>
      <c r="D107" s="79">
        <f t="shared" si="15"/>
        <v>1800</v>
      </c>
      <c r="E107" s="80">
        <f t="shared" si="18"/>
        <v>1800</v>
      </c>
      <c r="F107" s="79">
        <f t="shared" si="16"/>
        <v>966</v>
      </c>
      <c r="G107" s="79">
        <f t="shared" si="16"/>
        <v>4.41</v>
      </c>
      <c r="H107" s="79">
        <f t="shared" si="17"/>
        <v>3.6750000000000003</v>
      </c>
      <c r="I107" s="79">
        <f t="shared" si="10"/>
        <v>305.1569408968593</v>
      </c>
      <c r="J107" s="79">
        <f t="shared" si="11"/>
        <v>1494.8430591031406</v>
      </c>
      <c r="K107" s="79">
        <f t="shared" si="12"/>
        <v>83341.05922575653</v>
      </c>
      <c r="L107" s="79">
        <f>IF(C107&lt;=0,"还完了",SUM(E$5:E106)+K107)</f>
        <v>266941.05922575656</v>
      </c>
      <c r="M107" s="79">
        <f t="shared" si="13"/>
        <v>56941.05922575656</v>
      </c>
    </row>
    <row r="108" spans="1:13" ht="12">
      <c r="A108" s="139"/>
      <c r="B108" s="78">
        <v>104</v>
      </c>
      <c r="C108" s="79">
        <f t="shared" si="14"/>
        <v>81541.05922575653</v>
      </c>
      <c r="D108" s="79">
        <f t="shared" si="15"/>
        <v>1800</v>
      </c>
      <c r="E108" s="80">
        <f t="shared" si="18"/>
        <v>1800</v>
      </c>
      <c r="F108" s="79">
        <f t="shared" si="16"/>
        <v>966</v>
      </c>
      <c r="G108" s="79">
        <f t="shared" si="16"/>
        <v>4.41</v>
      </c>
      <c r="H108" s="79">
        <f t="shared" si="17"/>
        <v>3.6750000000000003</v>
      </c>
      <c r="I108" s="79">
        <f t="shared" si="10"/>
        <v>299.66339265465524</v>
      </c>
      <c r="J108" s="79">
        <f t="shared" si="11"/>
        <v>1500.3366073453449</v>
      </c>
      <c r="K108" s="79">
        <f t="shared" si="12"/>
        <v>81840.72261841118</v>
      </c>
      <c r="L108" s="79">
        <f>IF(C108&lt;=0,"还完了",SUM(E$5:E107)+K108)</f>
        <v>267240.7226184112</v>
      </c>
      <c r="M108" s="79">
        <f t="shared" si="13"/>
        <v>57240.72261841118</v>
      </c>
    </row>
    <row r="109" spans="1:13" ht="12">
      <c r="A109" s="139"/>
      <c r="B109" s="78">
        <v>105</v>
      </c>
      <c r="C109" s="79">
        <f t="shared" si="14"/>
        <v>80040.72261841118</v>
      </c>
      <c r="D109" s="79">
        <f t="shared" si="15"/>
        <v>1800</v>
      </c>
      <c r="E109" s="80">
        <f t="shared" si="18"/>
        <v>1800</v>
      </c>
      <c r="F109" s="79">
        <f t="shared" si="16"/>
        <v>966</v>
      </c>
      <c r="G109" s="79">
        <f t="shared" si="16"/>
        <v>4.41</v>
      </c>
      <c r="H109" s="79">
        <f t="shared" si="17"/>
        <v>3.6750000000000003</v>
      </c>
      <c r="I109" s="79">
        <f t="shared" si="10"/>
        <v>294.1496556226611</v>
      </c>
      <c r="J109" s="79">
        <f t="shared" si="11"/>
        <v>1505.8503443773388</v>
      </c>
      <c r="K109" s="79">
        <f t="shared" si="12"/>
        <v>80334.87227403384</v>
      </c>
      <c r="L109" s="79">
        <f>IF(C109&lt;=0,"还完了",SUM(E$5:E108)+K109)</f>
        <v>267534.87227403384</v>
      </c>
      <c r="M109" s="79">
        <f t="shared" si="13"/>
        <v>57534.87227403384</v>
      </c>
    </row>
    <row r="110" spans="1:13" ht="12">
      <c r="A110" s="139"/>
      <c r="B110" s="78">
        <v>106</v>
      </c>
      <c r="C110" s="79">
        <f t="shared" si="14"/>
        <v>78534.87227403384</v>
      </c>
      <c r="D110" s="79">
        <f t="shared" si="15"/>
        <v>1800</v>
      </c>
      <c r="E110" s="80">
        <f t="shared" si="18"/>
        <v>1800</v>
      </c>
      <c r="F110" s="79">
        <f t="shared" si="16"/>
        <v>966</v>
      </c>
      <c r="G110" s="79">
        <f t="shared" si="16"/>
        <v>4.41</v>
      </c>
      <c r="H110" s="79">
        <f t="shared" si="17"/>
        <v>3.6750000000000003</v>
      </c>
      <c r="I110" s="79">
        <f t="shared" si="10"/>
        <v>288.61565560707436</v>
      </c>
      <c r="J110" s="79">
        <f t="shared" si="11"/>
        <v>1511.3843443929256</v>
      </c>
      <c r="K110" s="79">
        <f t="shared" si="12"/>
        <v>78823.48792964092</v>
      </c>
      <c r="L110" s="79">
        <f>IF(C110&lt;=0,"还完了",SUM(E$5:E109)+K110)</f>
        <v>267823.4879296409</v>
      </c>
      <c r="M110" s="79">
        <f t="shared" si="13"/>
        <v>57823.48792964092</v>
      </c>
    </row>
    <row r="111" spans="1:13" ht="12">
      <c r="A111" s="139"/>
      <c r="B111" s="78">
        <v>107</v>
      </c>
      <c r="C111" s="79">
        <f t="shared" si="14"/>
        <v>77023.48792964092</v>
      </c>
      <c r="D111" s="79">
        <f t="shared" si="15"/>
        <v>1800</v>
      </c>
      <c r="E111" s="80">
        <f t="shared" si="18"/>
        <v>1800</v>
      </c>
      <c r="F111" s="79">
        <f t="shared" si="16"/>
        <v>966</v>
      </c>
      <c r="G111" s="79">
        <f t="shared" si="16"/>
        <v>4.41</v>
      </c>
      <c r="H111" s="79">
        <f t="shared" si="17"/>
        <v>3.6750000000000003</v>
      </c>
      <c r="I111" s="79">
        <f t="shared" si="10"/>
        <v>283.0613181414304</v>
      </c>
      <c r="J111" s="79">
        <f t="shared" si="11"/>
        <v>1516.9386818585697</v>
      </c>
      <c r="K111" s="79">
        <f t="shared" si="12"/>
        <v>77306.54924778236</v>
      </c>
      <c r="L111" s="79">
        <f>IF(C111&lt;=0,"还完了",SUM(E$5:E110)+K111)</f>
        <v>268106.5492477823</v>
      </c>
      <c r="M111" s="79">
        <f t="shared" si="13"/>
        <v>58106.54924778233</v>
      </c>
    </row>
    <row r="112" spans="1:13" ht="12">
      <c r="A112" s="139"/>
      <c r="B112" s="78">
        <v>108</v>
      </c>
      <c r="C112" s="79">
        <f t="shared" si="14"/>
        <v>75506.54924778236</v>
      </c>
      <c r="D112" s="79">
        <f t="shared" si="15"/>
        <v>1800</v>
      </c>
      <c r="E112" s="80">
        <f t="shared" si="18"/>
        <v>1800</v>
      </c>
      <c r="F112" s="79">
        <f t="shared" si="16"/>
        <v>966</v>
      </c>
      <c r="G112" s="79">
        <f t="shared" si="16"/>
        <v>4.41</v>
      </c>
      <c r="H112" s="79">
        <f t="shared" si="17"/>
        <v>3.6750000000000003</v>
      </c>
      <c r="I112" s="79">
        <f t="shared" si="10"/>
        <v>277.4865684856002</v>
      </c>
      <c r="J112" s="79">
        <f t="shared" si="11"/>
        <v>1522.5134315143998</v>
      </c>
      <c r="K112" s="79">
        <f t="shared" si="12"/>
        <v>75784.03581626796</v>
      </c>
      <c r="L112" s="79">
        <f>IF(C112&lt;=0,"还完了",SUM(E$5:E111)+K112)</f>
        <v>268384.03581626795</v>
      </c>
      <c r="M112" s="79">
        <f t="shared" si="13"/>
        <v>58384.03581626795</v>
      </c>
    </row>
    <row r="113" spans="1:13" ht="12">
      <c r="A113" s="139">
        <v>10</v>
      </c>
      <c r="B113" s="78">
        <v>109</v>
      </c>
      <c r="C113" s="79">
        <f t="shared" si="14"/>
        <v>73984.03581626796</v>
      </c>
      <c r="D113" s="79">
        <f t="shared" si="15"/>
        <v>1800</v>
      </c>
      <c r="E113" s="80">
        <f t="shared" si="18"/>
        <v>1800</v>
      </c>
      <c r="F113" s="79">
        <f t="shared" si="16"/>
        <v>966</v>
      </c>
      <c r="G113" s="79">
        <f t="shared" si="16"/>
        <v>4.41</v>
      </c>
      <c r="H113" s="79">
        <f t="shared" si="17"/>
        <v>3.6750000000000003</v>
      </c>
      <c r="I113" s="79">
        <f t="shared" si="10"/>
        <v>271.8913316247848</v>
      </c>
      <c r="J113" s="79">
        <f t="shared" si="11"/>
        <v>1528.108668375215</v>
      </c>
      <c r="K113" s="79">
        <f t="shared" si="12"/>
        <v>74255.92714789274</v>
      </c>
      <c r="L113" s="79">
        <f>IF(C113&lt;=0,"还完了",SUM(E$5:E112)+K113)</f>
        <v>268655.92714789277</v>
      </c>
      <c r="M113" s="79">
        <f t="shared" si="13"/>
        <v>58655.92714789277</v>
      </c>
    </row>
    <row r="114" spans="1:13" ht="12">
      <c r="A114" s="139"/>
      <c r="B114" s="78">
        <v>110</v>
      </c>
      <c r="C114" s="79">
        <f t="shared" si="14"/>
        <v>72455.92714789274</v>
      </c>
      <c r="D114" s="79">
        <f t="shared" si="15"/>
        <v>1800</v>
      </c>
      <c r="E114" s="80">
        <f t="shared" si="18"/>
        <v>1800</v>
      </c>
      <c r="F114" s="79">
        <f t="shared" si="16"/>
        <v>966</v>
      </c>
      <c r="G114" s="79">
        <f t="shared" si="16"/>
        <v>4.41</v>
      </c>
      <c r="H114" s="79">
        <f t="shared" si="17"/>
        <v>3.6750000000000003</v>
      </c>
      <c r="I114" s="79">
        <f t="shared" si="10"/>
        <v>266.27553226850586</v>
      </c>
      <c r="J114" s="79">
        <f t="shared" si="11"/>
        <v>1533.724467731494</v>
      </c>
      <c r="K114" s="79">
        <f t="shared" si="12"/>
        <v>72722.20268016125</v>
      </c>
      <c r="L114" s="79">
        <f>IF(C114&lt;=0,"还完了",SUM(E$5:E113)+K114)</f>
        <v>268922.2026801612</v>
      </c>
      <c r="M114" s="79">
        <f t="shared" si="13"/>
        <v>58922.20268016122</v>
      </c>
    </row>
    <row r="115" spans="1:13" ht="12">
      <c r="A115" s="139"/>
      <c r="B115" s="78">
        <v>111</v>
      </c>
      <c r="C115" s="79">
        <f t="shared" si="14"/>
        <v>70922.20268016125</v>
      </c>
      <c r="D115" s="79">
        <f t="shared" si="15"/>
        <v>1800</v>
      </c>
      <c r="E115" s="80">
        <f t="shared" si="18"/>
        <v>1800</v>
      </c>
      <c r="F115" s="79">
        <f t="shared" si="16"/>
        <v>966</v>
      </c>
      <c r="G115" s="79">
        <f t="shared" si="16"/>
        <v>4.41</v>
      </c>
      <c r="H115" s="79">
        <f t="shared" si="17"/>
        <v>3.6750000000000003</v>
      </c>
      <c r="I115" s="79">
        <f t="shared" si="10"/>
        <v>260.63909484959265</v>
      </c>
      <c r="J115" s="79">
        <f t="shared" si="11"/>
        <v>1539.3609051504072</v>
      </c>
      <c r="K115" s="79">
        <f t="shared" si="12"/>
        <v>71182.84177501085</v>
      </c>
      <c r="L115" s="79">
        <f>IF(C115&lt;=0,"还完了",SUM(E$5:E114)+K115)</f>
        <v>269182.84177501086</v>
      </c>
      <c r="M115" s="79">
        <f t="shared" si="13"/>
        <v>59182.841775010864</v>
      </c>
    </row>
    <row r="116" spans="1:13" ht="12">
      <c r="A116" s="139"/>
      <c r="B116" s="78">
        <v>112</v>
      </c>
      <c r="C116" s="79">
        <f t="shared" si="14"/>
        <v>69382.84177501085</v>
      </c>
      <c r="D116" s="79">
        <f t="shared" si="15"/>
        <v>1800</v>
      </c>
      <c r="E116" s="80">
        <f t="shared" si="18"/>
        <v>1800</v>
      </c>
      <c r="F116" s="79">
        <f t="shared" si="16"/>
        <v>966</v>
      </c>
      <c r="G116" s="79">
        <f t="shared" si="16"/>
        <v>4.41</v>
      </c>
      <c r="H116" s="79">
        <f t="shared" si="17"/>
        <v>3.6750000000000003</v>
      </c>
      <c r="I116" s="79">
        <f t="shared" si="10"/>
        <v>254.9819435231649</v>
      </c>
      <c r="J116" s="79">
        <f t="shared" si="11"/>
        <v>1545.0180564768352</v>
      </c>
      <c r="K116" s="79">
        <f t="shared" si="12"/>
        <v>69637.82371853401</v>
      </c>
      <c r="L116" s="79">
        <f>IF(C116&lt;=0,"还完了",SUM(E$5:E115)+K116)</f>
        <v>269437.823718534</v>
      </c>
      <c r="M116" s="79">
        <f t="shared" si="13"/>
        <v>59437.823718534026</v>
      </c>
    </row>
    <row r="117" spans="1:13" ht="12">
      <c r="A117" s="139"/>
      <c r="B117" s="78">
        <v>113</v>
      </c>
      <c r="C117" s="79">
        <f t="shared" si="14"/>
        <v>67837.82371853401</v>
      </c>
      <c r="D117" s="79">
        <f t="shared" si="15"/>
        <v>1800</v>
      </c>
      <c r="E117" s="80">
        <f t="shared" si="18"/>
        <v>1800</v>
      </c>
      <c r="F117" s="79">
        <f t="shared" si="16"/>
        <v>966</v>
      </c>
      <c r="G117" s="79">
        <f t="shared" si="16"/>
        <v>4.41</v>
      </c>
      <c r="H117" s="79">
        <f t="shared" si="17"/>
        <v>3.6750000000000003</v>
      </c>
      <c r="I117" s="79">
        <f t="shared" si="10"/>
        <v>249.3040021656125</v>
      </c>
      <c r="J117" s="79">
        <f t="shared" si="11"/>
        <v>1550.6959978343875</v>
      </c>
      <c r="K117" s="79">
        <f t="shared" si="12"/>
        <v>68087.12772069962</v>
      </c>
      <c r="L117" s="79">
        <f>IF(C117&lt;=0,"还完了",SUM(E$5:E116)+K117)</f>
        <v>269687.12772069965</v>
      </c>
      <c r="M117" s="79">
        <f t="shared" si="13"/>
        <v>59687.127720699646</v>
      </c>
    </row>
    <row r="118" spans="1:13" ht="12">
      <c r="A118" s="139"/>
      <c r="B118" s="78">
        <v>114</v>
      </c>
      <c r="C118" s="79">
        <f t="shared" si="14"/>
        <v>66287.12772069962</v>
      </c>
      <c r="D118" s="79">
        <f t="shared" si="15"/>
        <v>1800</v>
      </c>
      <c r="E118" s="80">
        <f t="shared" si="18"/>
        <v>1800</v>
      </c>
      <c r="F118" s="79">
        <f t="shared" si="16"/>
        <v>966</v>
      </c>
      <c r="G118" s="79">
        <f t="shared" si="16"/>
        <v>4.41</v>
      </c>
      <c r="H118" s="79">
        <f t="shared" si="17"/>
        <v>3.6750000000000003</v>
      </c>
      <c r="I118" s="79">
        <f t="shared" si="10"/>
        <v>243.60519437357112</v>
      </c>
      <c r="J118" s="79">
        <f t="shared" si="11"/>
        <v>1556.394805626429</v>
      </c>
      <c r="K118" s="79">
        <f t="shared" si="12"/>
        <v>66530.7329150732</v>
      </c>
      <c r="L118" s="79">
        <f>IF(C118&lt;=0,"还完了",SUM(E$5:E117)+K118)</f>
        <v>269930.73291507317</v>
      </c>
      <c r="M118" s="79">
        <f t="shared" si="13"/>
        <v>59930.73291507317</v>
      </c>
    </row>
    <row r="119" spans="1:13" ht="12">
      <c r="A119" s="139"/>
      <c r="B119" s="78">
        <v>115</v>
      </c>
      <c r="C119" s="79">
        <f t="shared" si="14"/>
        <v>64730.73291507319</v>
      </c>
      <c r="D119" s="79">
        <f t="shared" si="15"/>
        <v>1800</v>
      </c>
      <c r="E119" s="80">
        <f t="shared" si="18"/>
        <v>1800</v>
      </c>
      <c r="F119" s="79">
        <f t="shared" si="16"/>
        <v>966</v>
      </c>
      <c r="G119" s="79">
        <f t="shared" si="16"/>
        <v>4.41</v>
      </c>
      <c r="H119" s="79">
        <f t="shared" si="17"/>
        <v>3.6750000000000003</v>
      </c>
      <c r="I119" s="79">
        <f t="shared" si="10"/>
        <v>237.885443462894</v>
      </c>
      <c r="J119" s="79">
        <f t="shared" si="11"/>
        <v>1562.114556537106</v>
      </c>
      <c r="K119" s="79">
        <f t="shared" si="12"/>
        <v>64968.618358536085</v>
      </c>
      <c r="L119" s="79">
        <f>IF(C119&lt;=0,"还完了",SUM(E$5:E118)+K119)</f>
        <v>270168.6183585361</v>
      </c>
      <c r="M119" s="79">
        <f t="shared" si="13"/>
        <v>60168.6183585361</v>
      </c>
    </row>
    <row r="120" spans="1:13" ht="12">
      <c r="A120" s="139"/>
      <c r="B120" s="78">
        <v>116</v>
      </c>
      <c r="C120" s="79">
        <f t="shared" si="14"/>
        <v>63168.618358536085</v>
      </c>
      <c r="D120" s="79">
        <f t="shared" si="15"/>
        <v>1800</v>
      </c>
      <c r="E120" s="80">
        <f t="shared" si="18"/>
        <v>1800</v>
      </c>
      <c r="F120" s="79">
        <f t="shared" si="16"/>
        <v>966</v>
      </c>
      <c r="G120" s="79">
        <f t="shared" si="16"/>
        <v>4.41</v>
      </c>
      <c r="H120" s="79">
        <f t="shared" si="17"/>
        <v>3.6750000000000003</v>
      </c>
      <c r="I120" s="79">
        <f t="shared" si="10"/>
        <v>232.14467246762015</v>
      </c>
      <c r="J120" s="79">
        <f t="shared" si="11"/>
        <v>1567.8553275323798</v>
      </c>
      <c r="K120" s="79">
        <f t="shared" si="12"/>
        <v>63400.763031003706</v>
      </c>
      <c r="L120" s="79">
        <f>IF(C120&lt;=0,"还完了",SUM(E$5:E119)+K120)</f>
        <v>270400.7630310037</v>
      </c>
      <c r="M120" s="79">
        <f t="shared" si="13"/>
        <v>60400.763031003706</v>
      </c>
    </row>
    <row r="121" spans="1:13" ht="12">
      <c r="A121" s="139"/>
      <c r="B121" s="78">
        <v>117</v>
      </c>
      <c r="C121" s="79">
        <f t="shared" si="14"/>
        <v>61600.763031003706</v>
      </c>
      <c r="D121" s="79">
        <f t="shared" si="15"/>
        <v>1800</v>
      </c>
      <c r="E121" s="80">
        <f t="shared" si="18"/>
        <v>1800</v>
      </c>
      <c r="F121" s="79">
        <f t="shared" si="16"/>
        <v>966</v>
      </c>
      <c r="G121" s="79">
        <f t="shared" si="16"/>
        <v>4.41</v>
      </c>
      <c r="H121" s="79">
        <f t="shared" si="17"/>
        <v>3.6750000000000003</v>
      </c>
      <c r="I121" s="79">
        <f t="shared" si="10"/>
        <v>226.38280413893864</v>
      </c>
      <c r="J121" s="79">
        <f t="shared" si="11"/>
        <v>1573.6171958610614</v>
      </c>
      <c r="K121" s="79">
        <f t="shared" si="12"/>
        <v>61827.14583514264</v>
      </c>
      <c r="L121" s="79">
        <f>IF(C121&lt;=0,"还完了",SUM(E$5:E120)+K121)</f>
        <v>270627.14583514264</v>
      </c>
      <c r="M121" s="79">
        <f t="shared" si="13"/>
        <v>60627.14583514264</v>
      </c>
    </row>
    <row r="122" spans="1:13" ht="12">
      <c r="A122" s="139"/>
      <c r="B122" s="78">
        <v>118</v>
      </c>
      <c r="C122" s="79">
        <f t="shared" si="14"/>
        <v>60027.14583514264</v>
      </c>
      <c r="D122" s="79">
        <f t="shared" si="15"/>
        <v>1800</v>
      </c>
      <c r="E122" s="80">
        <f t="shared" si="18"/>
        <v>1800</v>
      </c>
      <c r="F122" s="79">
        <f t="shared" si="16"/>
        <v>966</v>
      </c>
      <c r="G122" s="79">
        <f t="shared" si="16"/>
        <v>4.41</v>
      </c>
      <c r="H122" s="79">
        <f t="shared" si="17"/>
        <v>3.6750000000000003</v>
      </c>
      <c r="I122" s="79">
        <f t="shared" si="10"/>
        <v>220.5997609441492</v>
      </c>
      <c r="J122" s="79">
        <f t="shared" si="11"/>
        <v>1579.4002390558508</v>
      </c>
      <c r="K122" s="79">
        <f t="shared" si="12"/>
        <v>60247.74559608679</v>
      </c>
      <c r="L122" s="79">
        <f>IF(C122&lt;=0,"还完了",SUM(E$5:E121)+K122)</f>
        <v>270847.7455960868</v>
      </c>
      <c r="M122" s="79">
        <f t="shared" si="13"/>
        <v>60847.74559608678</v>
      </c>
    </row>
    <row r="123" spans="1:13" ht="12">
      <c r="A123" s="139"/>
      <c r="B123" s="78">
        <v>119</v>
      </c>
      <c r="C123" s="79">
        <f t="shared" si="14"/>
        <v>58447.74559608679</v>
      </c>
      <c r="D123" s="79">
        <f t="shared" si="15"/>
        <v>1800</v>
      </c>
      <c r="E123" s="80">
        <f t="shared" si="18"/>
        <v>1800</v>
      </c>
      <c r="F123" s="79">
        <f t="shared" si="16"/>
        <v>966</v>
      </c>
      <c r="G123" s="79">
        <f t="shared" si="16"/>
        <v>4.41</v>
      </c>
      <c r="H123" s="79">
        <f t="shared" si="17"/>
        <v>3.6750000000000003</v>
      </c>
      <c r="I123" s="79">
        <f t="shared" si="10"/>
        <v>214.79546506561897</v>
      </c>
      <c r="J123" s="79">
        <f t="shared" si="11"/>
        <v>1585.204534934381</v>
      </c>
      <c r="K123" s="79">
        <f t="shared" si="12"/>
        <v>58662.541061152406</v>
      </c>
      <c r="L123" s="79">
        <f>IF(C123&lt;=0,"还完了",SUM(E$5:E122)+K123)</f>
        <v>271062.5410611524</v>
      </c>
      <c r="M123" s="79">
        <f t="shared" si="13"/>
        <v>61062.54106115241</v>
      </c>
    </row>
    <row r="124" spans="1:13" ht="12">
      <c r="A124" s="139"/>
      <c r="B124" s="78">
        <v>120</v>
      </c>
      <c r="C124" s="79">
        <f t="shared" si="14"/>
        <v>56862.541061152406</v>
      </c>
      <c r="D124" s="79">
        <f t="shared" si="15"/>
        <v>1800</v>
      </c>
      <c r="E124" s="80">
        <f t="shared" si="18"/>
        <v>1800</v>
      </c>
      <c r="F124" s="79">
        <f t="shared" si="16"/>
        <v>966</v>
      </c>
      <c r="G124" s="79">
        <f t="shared" si="16"/>
        <v>4.41</v>
      </c>
      <c r="H124" s="79">
        <f t="shared" si="17"/>
        <v>3.6750000000000003</v>
      </c>
      <c r="I124" s="79">
        <f t="shared" si="10"/>
        <v>208.9698383997351</v>
      </c>
      <c r="J124" s="79">
        <f t="shared" si="11"/>
        <v>1591.0301616002648</v>
      </c>
      <c r="K124" s="79">
        <f t="shared" si="12"/>
        <v>57071.510899552144</v>
      </c>
      <c r="L124" s="79">
        <f>IF(C124&lt;=0,"还完了",SUM(E$5:E123)+K124)</f>
        <v>271271.51089955214</v>
      </c>
      <c r="M124" s="79">
        <f t="shared" si="13"/>
        <v>61271.510899552144</v>
      </c>
    </row>
    <row r="125" spans="1:13" ht="12">
      <c r="A125" s="139">
        <v>11</v>
      </c>
      <c r="B125" s="78">
        <v>121</v>
      </c>
      <c r="C125" s="79">
        <f t="shared" si="14"/>
        <v>55271.510899552144</v>
      </c>
      <c r="D125" s="79">
        <f t="shared" si="15"/>
        <v>1800</v>
      </c>
      <c r="E125" s="80">
        <f t="shared" si="18"/>
        <v>1800</v>
      </c>
      <c r="F125" s="79">
        <f t="shared" si="16"/>
        <v>966</v>
      </c>
      <c r="G125" s="79">
        <f t="shared" si="16"/>
        <v>4.41</v>
      </c>
      <c r="H125" s="79">
        <f t="shared" si="17"/>
        <v>3.6750000000000003</v>
      </c>
      <c r="I125" s="79">
        <f t="shared" si="10"/>
        <v>203.12280255585415</v>
      </c>
      <c r="J125" s="79">
        <f t="shared" si="11"/>
        <v>1596.8771974441458</v>
      </c>
      <c r="K125" s="79">
        <f t="shared" si="12"/>
        <v>55474.633702107996</v>
      </c>
      <c r="L125" s="79">
        <f>IF(C125&lt;=0,"还完了",SUM(E$5:E124)+K125)</f>
        <v>271474.633702108</v>
      </c>
      <c r="M125" s="79">
        <f t="shared" si="13"/>
        <v>61474.633702107996</v>
      </c>
    </row>
    <row r="126" spans="1:13" ht="12">
      <c r="A126" s="139"/>
      <c r="B126" s="78">
        <v>122</v>
      </c>
      <c r="C126" s="79">
        <f t="shared" si="14"/>
        <v>53674.633702107996</v>
      </c>
      <c r="D126" s="79">
        <f t="shared" si="15"/>
        <v>1800</v>
      </c>
      <c r="E126" s="80">
        <f t="shared" si="18"/>
        <v>1800</v>
      </c>
      <c r="F126" s="79">
        <f t="shared" si="16"/>
        <v>966</v>
      </c>
      <c r="G126" s="79">
        <f t="shared" si="16"/>
        <v>4.41</v>
      </c>
      <c r="H126" s="79">
        <f t="shared" si="17"/>
        <v>3.6750000000000003</v>
      </c>
      <c r="I126" s="79">
        <f t="shared" si="10"/>
        <v>197.2542788552469</v>
      </c>
      <c r="J126" s="79">
        <f t="shared" si="11"/>
        <v>1602.7457211447531</v>
      </c>
      <c r="K126" s="79">
        <f t="shared" si="12"/>
        <v>53871.88798096324</v>
      </c>
      <c r="L126" s="79">
        <f>IF(C126&lt;=0,"还完了",SUM(E$5:E125)+K126)</f>
        <v>271671.8879809632</v>
      </c>
      <c r="M126" s="79">
        <f t="shared" si="13"/>
        <v>61671.88798096322</v>
      </c>
    </row>
    <row r="127" spans="1:13" ht="12">
      <c r="A127" s="139"/>
      <c r="B127" s="78">
        <v>123</v>
      </c>
      <c r="C127" s="79">
        <f t="shared" si="14"/>
        <v>52071.88798096324</v>
      </c>
      <c r="D127" s="79">
        <f t="shared" si="15"/>
        <v>1800</v>
      </c>
      <c r="E127" s="80">
        <f t="shared" si="18"/>
        <v>1800</v>
      </c>
      <c r="F127" s="79">
        <f t="shared" si="16"/>
        <v>966</v>
      </c>
      <c r="G127" s="79">
        <f t="shared" si="16"/>
        <v>4.41</v>
      </c>
      <c r="H127" s="79">
        <f t="shared" si="17"/>
        <v>3.6750000000000003</v>
      </c>
      <c r="I127" s="79">
        <f t="shared" si="10"/>
        <v>191.36418833003992</v>
      </c>
      <c r="J127" s="79">
        <f t="shared" si="11"/>
        <v>1608.63581166996</v>
      </c>
      <c r="K127" s="79">
        <f t="shared" si="12"/>
        <v>52263.25216929328</v>
      </c>
      <c r="L127" s="79">
        <f>IF(C127&lt;=0,"还完了",SUM(E$5:E126)+K127)</f>
        <v>271863.2521692933</v>
      </c>
      <c r="M127" s="79">
        <f t="shared" si="13"/>
        <v>61863.25216929329</v>
      </c>
    </row>
    <row r="128" spans="1:13" ht="12">
      <c r="A128" s="139"/>
      <c r="B128" s="78">
        <v>124</v>
      </c>
      <c r="C128" s="79">
        <f t="shared" si="14"/>
        <v>50463.25216929328</v>
      </c>
      <c r="D128" s="79">
        <f t="shared" si="15"/>
        <v>1800</v>
      </c>
      <c r="E128" s="80">
        <f t="shared" si="18"/>
        <v>1800</v>
      </c>
      <c r="F128" s="79">
        <f t="shared" si="16"/>
        <v>966</v>
      </c>
      <c r="G128" s="79">
        <f t="shared" si="16"/>
        <v>4.41</v>
      </c>
      <c r="H128" s="79">
        <f t="shared" si="17"/>
        <v>3.6750000000000003</v>
      </c>
      <c r="I128" s="79">
        <f t="shared" si="10"/>
        <v>185.45245172215283</v>
      </c>
      <c r="J128" s="79">
        <f t="shared" si="11"/>
        <v>1614.5475482778472</v>
      </c>
      <c r="K128" s="79">
        <f t="shared" si="12"/>
        <v>50648.70462101543</v>
      </c>
      <c r="L128" s="79">
        <f>IF(C128&lt;=0,"还完了",SUM(E$5:E127)+K128)</f>
        <v>272048.7046210154</v>
      </c>
      <c r="M128" s="79">
        <f t="shared" si="13"/>
        <v>62048.70462101541</v>
      </c>
    </row>
    <row r="129" spans="1:13" ht="12">
      <c r="A129" s="139"/>
      <c r="B129" s="78">
        <v>125</v>
      </c>
      <c r="C129" s="79">
        <f t="shared" si="14"/>
        <v>48848.70462101543</v>
      </c>
      <c r="D129" s="79">
        <f t="shared" si="15"/>
        <v>1800</v>
      </c>
      <c r="E129" s="80">
        <f t="shared" si="18"/>
        <v>1800</v>
      </c>
      <c r="F129" s="79">
        <f t="shared" si="16"/>
        <v>966</v>
      </c>
      <c r="G129" s="79">
        <f t="shared" si="16"/>
        <v>4.41</v>
      </c>
      <c r="H129" s="79">
        <f t="shared" si="17"/>
        <v>3.6750000000000003</v>
      </c>
      <c r="I129" s="79">
        <f t="shared" si="10"/>
        <v>179.51898948223172</v>
      </c>
      <c r="J129" s="79">
        <f t="shared" si="11"/>
        <v>1620.4810105177683</v>
      </c>
      <c r="K129" s="79">
        <f t="shared" si="12"/>
        <v>49028.22361049766</v>
      </c>
      <c r="L129" s="79">
        <f>IF(C129&lt;=0,"还完了",SUM(E$5:E128)+K129)</f>
        <v>272228.22361049766</v>
      </c>
      <c r="M129" s="79">
        <f t="shared" si="13"/>
        <v>62228.22361049766</v>
      </c>
    </row>
    <row r="130" spans="1:13" ht="12">
      <c r="A130" s="139"/>
      <c r="B130" s="78">
        <v>126</v>
      </c>
      <c r="C130" s="79">
        <f t="shared" si="14"/>
        <v>47228.22361049766</v>
      </c>
      <c r="D130" s="79">
        <f t="shared" si="15"/>
        <v>1800</v>
      </c>
      <c r="E130" s="80">
        <f t="shared" si="18"/>
        <v>1800</v>
      </c>
      <c r="F130" s="79">
        <f t="shared" si="16"/>
        <v>966</v>
      </c>
      <c r="G130" s="79">
        <f t="shared" si="16"/>
        <v>4.41</v>
      </c>
      <c r="H130" s="79">
        <f t="shared" si="17"/>
        <v>3.6750000000000003</v>
      </c>
      <c r="I130" s="79">
        <f t="shared" si="10"/>
        <v>173.56372176857892</v>
      </c>
      <c r="J130" s="79">
        <f t="shared" si="11"/>
        <v>1626.436278231421</v>
      </c>
      <c r="K130" s="79">
        <f t="shared" si="12"/>
        <v>47401.78733226624</v>
      </c>
      <c r="L130" s="79">
        <f>IF(C130&lt;=0,"还完了",SUM(E$5:E129)+K130)</f>
        <v>272401.7873322662</v>
      </c>
      <c r="M130" s="79">
        <f t="shared" si="13"/>
        <v>62401.78733226622</v>
      </c>
    </row>
    <row r="131" spans="1:13" ht="12">
      <c r="A131" s="139"/>
      <c r="B131" s="78">
        <v>127</v>
      </c>
      <c r="C131" s="79">
        <f t="shared" si="14"/>
        <v>45601.78733226624</v>
      </c>
      <c r="D131" s="79">
        <f t="shared" si="15"/>
        <v>1800</v>
      </c>
      <c r="E131" s="80">
        <f t="shared" si="18"/>
        <v>1800</v>
      </c>
      <c r="F131" s="79">
        <f t="shared" si="16"/>
        <v>966</v>
      </c>
      <c r="G131" s="79">
        <f t="shared" si="16"/>
        <v>4.41</v>
      </c>
      <c r="H131" s="79">
        <f t="shared" si="17"/>
        <v>3.6750000000000003</v>
      </c>
      <c r="I131" s="79">
        <f t="shared" si="10"/>
        <v>167.58656844607845</v>
      </c>
      <c r="J131" s="79">
        <f t="shared" si="11"/>
        <v>1632.4134315539216</v>
      </c>
      <c r="K131" s="79">
        <f t="shared" si="12"/>
        <v>45769.37390071232</v>
      </c>
      <c r="L131" s="79">
        <f>IF(C131&lt;=0,"还完了",SUM(E$5:E130)+K131)</f>
        <v>272569.37390071235</v>
      </c>
      <c r="M131" s="79">
        <f t="shared" si="13"/>
        <v>62569.37390071235</v>
      </c>
    </row>
    <row r="132" spans="1:13" ht="12">
      <c r="A132" s="139"/>
      <c r="B132" s="78">
        <v>128</v>
      </c>
      <c r="C132" s="79">
        <f t="shared" si="14"/>
        <v>43969.37390071232</v>
      </c>
      <c r="D132" s="79">
        <f t="shared" si="15"/>
        <v>1800</v>
      </c>
      <c r="E132" s="80">
        <f t="shared" si="18"/>
        <v>1800</v>
      </c>
      <c r="F132" s="79">
        <f t="shared" si="16"/>
        <v>966</v>
      </c>
      <c r="G132" s="79">
        <f t="shared" si="16"/>
        <v>4.41</v>
      </c>
      <c r="H132" s="79">
        <f t="shared" si="17"/>
        <v>3.6750000000000003</v>
      </c>
      <c r="I132" s="79">
        <f t="shared" si="10"/>
        <v>161.58744908511778</v>
      </c>
      <c r="J132" s="79">
        <f t="shared" si="11"/>
        <v>1638.412550914882</v>
      </c>
      <c r="K132" s="79">
        <f t="shared" si="12"/>
        <v>44130.96134979744</v>
      </c>
      <c r="L132" s="79">
        <f>IF(C132&lt;=0,"还完了",SUM(E$5:E131)+K132)</f>
        <v>272730.96134979744</v>
      </c>
      <c r="M132" s="79">
        <f t="shared" si="13"/>
        <v>62730.961349797435</v>
      </c>
    </row>
    <row r="133" spans="1:13" ht="12">
      <c r="A133" s="139"/>
      <c r="B133" s="78">
        <v>129</v>
      </c>
      <c r="C133" s="79">
        <f t="shared" si="14"/>
        <v>42330.96134979744</v>
      </c>
      <c r="D133" s="79">
        <f t="shared" si="15"/>
        <v>1800</v>
      </c>
      <c r="E133" s="80">
        <f t="shared" si="18"/>
        <v>1800</v>
      </c>
      <c r="F133" s="79">
        <f t="shared" si="16"/>
        <v>966</v>
      </c>
      <c r="G133" s="79">
        <f t="shared" si="16"/>
        <v>4.41</v>
      </c>
      <c r="H133" s="79">
        <f t="shared" si="17"/>
        <v>3.6750000000000003</v>
      </c>
      <c r="I133" s="79">
        <f aca="true" t="shared" si="19" ref="I133:I184">C133*H133/1000</f>
        <v>155.5662829605056</v>
      </c>
      <c r="J133" s="79">
        <f aca="true" t="shared" si="20" ref="J133:J183">IF(C133&lt;=0,"还完了",E133-I133)</f>
        <v>1644.4337170394945</v>
      </c>
      <c r="K133" s="79">
        <f aca="true" t="shared" si="21" ref="K133:K183">IF(C133&lt;=0,"还完了",E133+C134)</f>
        <v>42486.52763275795</v>
      </c>
      <c r="L133" s="79">
        <f>IF(C133&lt;=0,"还完了",SUM(E$5:E132)+K133)</f>
        <v>272886.52763275796</v>
      </c>
      <c r="M133" s="79">
        <f aca="true" t="shared" si="22" ref="M133:M183">IF(C133&lt;=0,"还完了",L133-C$5)</f>
        <v>62886.52763275796</v>
      </c>
    </row>
    <row r="134" spans="1:13" ht="12">
      <c r="A134" s="139"/>
      <c r="B134" s="78">
        <v>130</v>
      </c>
      <c r="C134" s="79">
        <f aca="true" t="shared" si="23" ref="C134:C184">IF(C133&gt;0,C133-J133,0)</f>
        <v>40686.52763275795</v>
      </c>
      <c r="D134" s="79">
        <f aca="true" t="shared" si="24" ref="D134:D184">D133</f>
        <v>1800</v>
      </c>
      <c r="E134" s="80">
        <f t="shared" si="18"/>
        <v>1800</v>
      </c>
      <c r="F134" s="79">
        <f aca="true" t="shared" si="25" ref="F134:G184">F133</f>
        <v>966</v>
      </c>
      <c r="G134" s="79">
        <f t="shared" si="25"/>
        <v>4.41</v>
      </c>
      <c r="H134" s="79">
        <f aca="true" t="shared" si="26" ref="H134:H197">G134/1.2</f>
        <v>3.6750000000000003</v>
      </c>
      <c r="I134" s="79">
        <f t="shared" si="19"/>
        <v>149.5229890503855</v>
      </c>
      <c r="J134" s="79">
        <f t="shared" si="20"/>
        <v>1650.4770109496144</v>
      </c>
      <c r="K134" s="79">
        <f t="shared" si="21"/>
        <v>40836.05062180833</v>
      </c>
      <c r="L134" s="79">
        <f>IF(C134&lt;=0,"还完了",SUM(E$5:E133)+K134)</f>
        <v>273036.05062180833</v>
      </c>
      <c r="M134" s="79">
        <f t="shared" si="22"/>
        <v>63036.05062180833</v>
      </c>
    </row>
    <row r="135" spans="1:13" ht="12">
      <c r="A135" s="139"/>
      <c r="B135" s="78">
        <v>131</v>
      </c>
      <c r="C135" s="79">
        <f t="shared" si="23"/>
        <v>39036.05062180833</v>
      </c>
      <c r="D135" s="79">
        <f t="shared" si="24"/>
        <v>1800</v>
      </c>
      <c r="E135" s="80">
        <f t="shared" si="18"/>
        <v>1800</v>
      </c>
      <c r="F135" s="79">
        <f t="shared" si="25"/>
        <v>966</v>
      </c>
      <c r="G135" s="79">
        <f t="shared" si="25"/>
        <v>4.41</v>
      </c>
      <c r="H135" s="79">
        <f t="shared" si="26"/>
        <v>3.6750000000000003</v>
      </c>
      <c r="I135" s="79">
        <f t="shared" si="19"/>
        <v>143.45748603514565</v>
      </c>
      <c r="J135" s="79">
        <f t="shared" si="20"/>
        <v>1656.5425139648544</v>
      </c>
      <c r="K135" s="79">
        <f t="shared" si="21"/>
        <v>39179.508107843474</v>
      </c>
      <c r="L135" s="79">
        <f>IF(C135&lt;=0,"还完了",SUM(E$5:E134)+K135)</f>
        <v>273179.50810784346</v>
      </c>
      <c r="M135" s="79">
        <f t="shared" si="22"/>
        <v>63179.50810784346</v>
      </c>
    </row>
    <row r="136" spans="1:13" ht="12">
      <c r="A136" s="139"/>
      <c r="B136" s="78">
        <v>132</v>
      </c>
      <c r="C136" s="79">
        <f t="shared" si="23"/>
        <v>37379.508107843474</v>
      </c>
      <c r="D136" s="79">
        <f t="shared" si="24"/>
        <v>1800</v>
      </c>
      <c r="E136" s="80">
        <f t="shared" si="18"/>
        <v>1800</v>
      </c>
      <c r="F136" s="79">
        <f t="shared" si="25"/>
        <v>966</v>
      </c>
      <c r="G136" s="79">
        <f t="shared" si="25"/>
        <v>4.41</v>
      </c>
      <c r="H136" s="79">
        <f t="shared" si="26"/>
        <v>3.6750000000000003</v>
      </c>
      <c r="I136" s="79">
        <f t="shared" si="19"/>
        <v>137.36969229632476</v>
      </c>
      <c r="J136" s="79">
        <f t="shared" si="20"/>
        <v>1662.6303077036753</v>
      </c>
      <c r="K136" s="79">
        <f t="shared" si="21"/>
        <v>37516.8778001398</v>
      </c>
      <c r="L136" s="79">
        <f>IF(C136&lt;=0,"还完了",SUM(E$5:E135)+K136)</f>
        <v>273316.87780013983</v>
      </c>
      <c r="M136" s="79">
        <f t="shared" si="22"/>
        <v>63316.87780013983</v>
      </c>
    </row>
    <row r="137" spans="1:13" ht="12">
      <c r="A137" s="139">
        <v>12</v>
      </c>
      <c r="B137" s="78">
        <v>133</v>
      </c>
      <c r="C137" s="79">
        <f t="shared" si="23"/>
        <v>35716.8778001398</v>
      </c>
      <c r="D137" s="79">
        <f t="shared" si="24"/>
        <v>1800</v>
      </c>
      <c r="E137" s="80">
        <f t="shared" si="18"/>
        <v>1800</v>
      </c>
      <c r="F137" s="79">
        <f t="shared" si="25"/>
        <v>966</v>
      </c>
      <c r="G137" s="79">
        <f t="shared" si="25"/>
        <v>4.41</v>
      </c>
      <c r="H137" s="79">
        <f t="shared" si="26"/>
        <v>3.6750000000000003</v>
      </c>
      <c r="I137" s="79">
        <f t="shared" si="19"/>
        <v>131.25952591551376</v>
      </c>
      <c r="J137" s="79">
        <f t="shared" si="20"/>
        <v>1668.7404740844863</v>
      </c>
      <c r="K137" s="79">
        <f t="shared" si="21"/>
        <v>35848.137326055315</v>
      </c>
      <c r="L137" s="79">
        <f>IF(C137&lt;=0,"还完了",SUM(E$5:E136)+K137)</f>
        <v>273448.1373260553</v>
      </c>
      <c r="M137" s="79">
        <f t="shared" si="22"/>
        <v>63448.13732605532</v>
      </c>
    </row>
    <row r="138" spans="1:13" ht="12">
      <c r="A138" s="139"/>
      <c r="B138" s="78">
        <v>134</v>
      </c>
      <c r="C138" s="79">
        <f t="shared" si="23"/>
        <v>34048.137326055315</v>
      </c>
      <c r="D138" s="79">
        <f t="shared" si="24"/>
        <v>1800</v>
      </c>
      <c r="E138" s="80">
        <f aca="true" t="shared" si="27" ref="E138:E201">IF(C138&lt;=0,"还完了",D138)</f>
        <v>1800</v>
      </c>
      <c r="F138" s="79">
        <f t="shared" si="25"/>
        <v>966</v>
      </c>
      <c r="G138" s="79">
        <f t="shared" si="25"/>
        <v>4.41</v>
      </c>
      <c r="H138" s="79">
        <f t="shared" si="26"/>
        <v>3.6750000000000003</v>
      </c>
      <c r="I138" s="79">
        <f t="shared" si="19"/>
        <v>125.12690467325329</v>
      </c>
      <c r="J138" s="79">
        <f t="shared" si="20"/>
        <v>1674.8730953267468</v>
      </c>
      <c r="K138" s="79">
        <f t="shared" si="21"/>
        <v>34173.26423072857</v>
      </c>
      <c r="L138" s="79">
        <f>IF(C138&lt;=0,"还完了",SUM(E$5:E137)+K138)</f>
        <v>273573.26423072856</v>
      </c>
      <c r="M138" s="79">
        <f t="shared" si="22"/>
        <v>63573.26423072856</v>
      </c>
    </row>
    <row r="139" spans="1:13" ht="12">
      <c r="A139" s="139"/>
      <c r="B139" s="78">
        <v>135</v>
      </c>
      <c r="C139" s="79">
        <f t="shared" si="23"/>
        <v>32373.264230728568</v>
      </c>
      <c r="D139" s="79">
        <f t="shared" si="24"/>
        <v>1800</v>
      </c>
      <c r="E139" s="80">
        <f t="shared" si="27"/>
        <v>1800</v>
      </c>
      <c r="F139" s="79">
        <f t="shared" si="25"/>
        <v>966</v>
      </c>
      <c r="G139" s="79">
        <f t="shared" si="25"/>
        <v>4.41</v>
      </c>
      <c r="H139" s="79">
        <f t="shared" si="26"/>
        <v>3.6750000000000003</v>
      </c>
      <c r="I139" s="79">
        <f t="shared" si="19"/>
        <v>118.97174604792748</v>
      </c>
      <c r="J139" s="79">
        <f t="shared" si="20"/>
        <v>1681.0282539520724</v>
      </c>
      <c r="K139" s="79">
        <f t="shared" si="21"/>
        <v>32492.235976776494</v>
      </c>
      <c r="L139" s="79">
        <f>IF(C139&lt;=0,"还完了",SUM(E$5:E138)+K139)</f>
        <v>273692.2359767765</v>
      </c>
      <c r="M139" s="79">
        <f t="shared" si="22"/>
        <v>63692.235976776516</v>
      </c>
    </row>
    <row r="140" spans="1:13" ht="12">
      <c r="A140" s="139"/>
      <c r="B140" s="78">
        <v>136</v>
      </c>
      <c r="C140" s="79">
        <f t="shared" si="23"/>
        <v>30692.235976776494</v>
      </c>
      <c r="D140" s="79">
        <f t="shared" si="24"/>
        <v>1800</v>
      </c>
      <c r="E140" s="80">
        <f t="shared" si="27"/>
        <v>1800</v>
      </c>
      <c r="F140" s="79">
        <f t="shared" si="25"/>
        <v>966</v>
      </c>
      <c r="G140" s="79">
        <f t="shared" si="25"/>
        <v>4.41</v>
      </c>
      <c r="H140" s="79">
        <f t="shared" si="26"/>
        <v>3.6750000000000003</v>
      </c>
      <c r="I140" s="79">
        <f t="shared" si="19"/>
        <v>112.79396721465362</v>
      </c>
      <c r="J140" s="79">
        <f t="shared" si="20"/>
        <v>1687.2060327853465</v>
      </c>
      <c r="K140" s="79">
        <f t="shared" si="21"/>
        <v>30805.029943991147</v>
      </c>
      <c r="L140" s="79">
        <f>IF(C140&lt;=0,"还完了",SUM(E$5:E139)+K140)</f>
        <v>273805.02994399116</v>
      </c>
      <c r="M140" s="79">
        <f t="shared" si="22"/>
        <v>63805.02994399116</v>
      </c>
    </row>
    <row r="141" spans="1:13" ht="12">
      <c r="A141" s="139"/>
      <c r="B141" s="78">
        <v>137</v>
      </c>
      <c r="C141" s="79">
        <f t="shared" si="23"/>
        <v>29005.029943991147</v>
      </c>
      <c r="D141" s="79">
        <f t="shared" si="24"/>
        <v>1800</v>
      </c>
      <c r="E141" s="80">
        <f t="shared" si="27"/>
        <v>1800</v>
      </c>
      <c r="F141" s="79">
        <f t="shared" si="25"/>
        <v>966</v>
      </c>
      <c r="G141" s="79">
        <f t="shared" si="25"/>
        <v>4.41</v>
      </c>
      <c r="H141" s="79">
        <f t="shared" si="26"/>
        <v>3.6750000000000003</v>
      </c>
      <c r="I141" s="79">
        <f t="shared" si="19"/>
        <v>106.59348504416748</v>
      </c>
      <c r="J141" s="79">
        <f t="shared" si="20"/>
        <v>1693.4065149558326</v>
      </c>
      <c r="K141" s="79">
        <f t="shared" si="21"/>
        <v>29111.623429035313</v>
      </c>
      <c r="L141" s="79">
        <f>IF(C141&lt;=0,"还完了",SUM(E$5:E140)+K141)</f>
        <v>273911.6234290353</v>
      </c>
      <c r="M141" s="79">
        <f t="shared" si="22"/>
        <v>63911.6234290353</v>
      </c>
    </row>
    <row r="142" spans="1:13" ht="12">
      <c r="A142" s="139"/>
      <c r="B142" s="78">
        <v>138</v>
      </c>
      <c r="C142" s="79">
        <f t="shared" si="23"/>
        <v>27311.623429035313</v>
      </c>
      <c r="D142" s="79">
        <f t="shared" si="24"/>
        <v>1800</v>
      </c>
      <c r="E142" s="80">
        <f t="shared" si="27"/>
        <v>1800</v>
      </c>
      <c r="F142" s="79">
        <f t="shared" si="25"/>
        <v>966</v>
      </c>
      <c r="G142" s="79">
        <f t="shared" si="25"/>
        <v>4.41</v>
      </c>
      <c r="H142" s="79">
        <f t="shared" si="26"/>
        <v>3.6750000000000003</v>
      </c>
      <c r="I142" s="79">
        <f t="shared" si="19"/>
        <v>100.37021610170477</v>
      </c>
      <c r="J142" s="79">
        <f t="shared" si="20"/>
        <v>1699.6297838982953</v>
      </c>
      <c r="K142" s="79">
        <f t="shared" si="21"/>
        <v>27411.99364513702</v>
      </c>
      <c r="L142" s="79">
        <f>IF(C142&lt;=0,"还完了",SUM(E$5:E141)+K142)</f>
        <v>274011.993645137</v>
      </c>
      <c r="M142" s="79">
        <f t="shared" si="22"/>
        <v>64011.993645137</v>
      </c>
    </row>
    <row r="143" spans="1:13" ht="12">
      <c r="A143" s="139"/>
      <c r="B143" s="78">
        <v>139</v>
      </c>
      <c r="C143" s="79">
        <f t="shared" si="23"/>
        <v>25611.99364513702</v>
      </c>
      <c r="D143" s="79">
        <f t="shared" si="24"/>
        <v>1800</v>
      </c>
      <c r="E143" s="80">
        <f t="shared" si="27"/>
        <v>1800</v>
      </c>
      <c r="F143" s="79">
        <f t="shared" si="25"/>
        <v>966</v>
      </c>
      <c r="G143" s="79">
        <f t="shared" si="25"/>
        <v>4.41</v>
      </c>
      <c r="H143" s="79">
        <f t="shared" si="26"/>
        <v>3.6750000000000003</v>
      </c>
      <c r="I143" s="79">
        <f t="shared" si="19"/>
        <v>94.12407664587855</v>
      </c>
      <c r="J143" s="79">
        <f t="shared" si="20"/>
        <v>1705.8759233541214</v>
      </c>
      <c r="K143" s="79">
        <f t="shared" si="21"/>
        <v>25706.1177217829</v>
      </c>
      <c r="L143" s="79">
        <f>IF(C143&lt;=0,"还完了",SUM(E$5:E142)+K143)</f>
        <v>274106.1177217829</v>
      </c>
      <c r="M143" s="79">
        <f t="shared" si="22"/>
        <v>64106.11772178288</v>
      </c>
    </row>
    <row r="144" spans="1:13" ht="12">
      <c r="A144" s="139"/>
      <c r="B144" s="78">
        <v>140</v>
      </c>
      <c r="C144" s="79">
        <f t="shared" si="23"/>
        <v>23906.1177217829</v>
      </c>
      <c r="D144" s="79">
        <f t="shared" si="24"/>
        <v>1800</v>
      </c>
      <c r="E144" s="80">
        <f t="shared" si="27"/>
        <v>1800</v>
      </c>
      <c r="F144" s="79">
        <f t="shared" si="25"/>
        <v>966</v>
      </c>
      <c r="G144" s="79">
        <f t="shared" si="25"/>
        <v>4.41</v>
      </c>
      <c r="H144" s="79">
        <f t="shared" si="26"/>
        <v>3.6750000000000003</v>
      </c>
      <c r="I144" s="79">
        <f t="shared" si="19"/>
        <v>87.85498262755216</v>
      </c>
      <c r="J144" s="79">
        <f t="shared" si="20"/>
        <v>1712.145017372448</v>
      </c>
      <c r="K144" s="79">
        <f t="shared" si="21"/>
        <v>23993.97270441045</v>
      </c>
      <c r="L144" s="79">
        <f>IF(C144&lt;=0,"还完了",SUM(E$5:E143)+K144)</f>
        <v>274193.97270441044</v>
      </c>
      <c r="M144" s="79">
        <f t="shared" si="22"/>
        <v>64193.97270441044</v>
      </c>
    </row>
    <row r="145" spans="1:13" ht="12">
      <c r="A145" s="139"/>
      <c r="B145" s="78">
        <v>141</v>
      </c>
      <c r="C145" s="79">
        <f t="shared" si="23"/>
        <v>22193.97270441045</v>
      </c>
      <c r="D145" s="79">
        <f t="shared" si="24"/>
        <v>1800</v>
      </c>
      <c r="E145" s="80">
        <f t="shared" si="27"/>
        <v>1800</v>
      </c>
      <c r="F145" s="79">
        <f t="shared" si="25"/>
        <v>966</v>
      </c>
      <c r="G145" s="79">
        <f t="shared" si="25"/>
        <v>4.41</v>
      </c>
      <c r="H145" s="79">
        <f t="shared" si="26"/>
        <v>3.6750000000000003</v>
      </c>
      <c r="I145" s="79">
        <f t="shared" si="19"/>
        <v>81.56284968870843</v>
      </c>
      <c r="J145" s="79">
        <f t="shared" si="20"/>
        <v>1718.4371503112916</v>
      </c>
      <c r="K145" s="79">
        <f t="shared" si="21"/>
        <v>22275.53555409916</v>
      </c>
      <c r="L145" s="79">
        <f>IF(C145&lt;=0,"还完了",SUM(E$5:E144)+K145)</f>
        <v>274275.53555409913</v>
      </c>
      <c r="M145" s="79">
        <f t="shared" si="22"/>
        <v>64275.53555409913</v>
      </c>
    </row>
    <row r="146" spans="1:13" ht="12">
      <c r="A146" s="139"/>
      <c r="B146" s="78">
        <v>142</v>
      </c>
      <c r="C146" s="79">
        <f t="shared" si="23"/>
        <v>20475.53555409916</v>
      </c>
      <c r="D146" s="79">
        <f t="shared" si="24"/>
        <v>1800</v>
      </c>
      <c r="E146" s="80">
        <f t="shared" si="27"/>
        <v>1800</v>
      </c>
      <c r="F146" s="79">
        <f t="shared" si="25"/>
        <v>966</v>
      </c>
      <c r="G146" s="79">
        <f t="shared" si="25"/>
        <v>4.41</v>
      </c>
      <c r="H146" s="79">
        <f t="shared" si="26"/>
        <v>3.6750000000000003</v>
      </c>
      <c r="I146" s="79">
        <f t="shared" si="19"/>
        <v>75.24759316131443</v>
      </c>
      <c r="J146" s="79">
        <f t="shared" si="20"/>
        <v>1724.7524068386856</v>
      </c>
      <c r="K146" s="79">
        <f t="shared" si="21"/>
        <v>20550.783147260474</v>
      </c>
      <c r="L146" s="79">
        <f>IF(C146&lt;=0,"还完了",SUM(E$5:E145)+K146)</f>
        <v>274350.7831472605</v>
      </c>
      <c r="M146" s="79">
        <f t="shared" si="22"/>
        <v>64350.78314726049</v>
      </c>
    </row>
    <row r="147" spans="1:13" ht="12">
      <c r="A147" s="139"/>
      <c r="B147" s="78">
        <v>143</v>
      </c>
      <c r="C147" s="79">
        <f t="shared" si="23"/>
        <v>18750.783147260474</v>
      </c>
      <c r="D147" s="79">
        <f t="shared" si="24"/>
        <v>1800</v>
      </c>
      <c r="E147" s="80">
        <f t="shared" si="27"/>
        <v>1800</v>
      </c>
      <c r="F147" s="79">
        <f t="shared" si="25"/>
        <v>966</v>
      </c>
      <c r="G147" s="79">
        <f t="shared" si="25"/>
        <v>4.41</v>
      </c>
      <c r="H147" s="79">
        <f t="shared" si="26"/>
        <v>3.6750000000000003</v>
      </c>
      <c r="I147" s="79">
        <f t="shared" si="19"/>
        <v>68.90912806618225</v>
      </c>
      <c r="J147" s="79">
        <f t="shared" si="20"/>
        <v>1731.0908719338177</v>
      </c>
      <c r="K147" s="79">
        <f t="shared" si="21"/>
        <v>18819.692275326655</v>
      </c>
      <c r="L147" s="79">
        <f>IF(C147&lt;=0,"还完了",SUM(E$5:E146)+K147)</f>
        <v>274419.69227532664</v>
      </c>
      <c r="M147" s="79">
        <f t="shared" si="22"/>
        <v>64419.69227532664</v>
      </c>
    </row>
    <row r="148" spans="1:13" ht="12">
      <c r="A148" s="139"/>
      <c r="B148" s="78">
        <v>144</v>
      </c>
      <c r="C148" s="79">
        <f t="shared" si="23"/>
        <v>17019.692275326655</v>
      </c>
      <c r="D148" s="79">
        <f t="shared" si="24"/>
        <v>1800</v>
      </c>
      <c r="E148" s="80">
        <f t="shared" si="27"/>
        <v>1800</v>
      </c>
      <c r="F148" s="79">
        <f t="shared" si="25"/>
        <v>966</v>
      </c>
      <c r="G148" s="79">
        <f t="shared" si="25"/>
        <v>4.41</v>
      </c>
      <c r="H148" s="79">
        <f t="shared" si="26"/>
        <v>3.6750000000000003</v>
      </c>
      <c r="I148" s="79">
        <f t="shared" si="19"/>
        <v>62.54736911182547</v>
      </c>
      <c r="J148" s="79">
        <f t="shared" si="20"/>
        <v>1737.4526308881746</v>
      </c>
      <c r="K148" s="79">
        <f t="shared" si="21"/>
        <v>17082.23964443848</v>
      </c>
      <c r="L148" s="79">
        <f>IF(C148&lt;=0,"还完了",SUM(E$5:E147)+K148)</f>
        <v>274482.2396444385</v>
      </c>
      <c r="M148" s="79">
        <f t="shared" si="22"/>
        <v>64482.239644438494</v>
      </c>
    </row>
    <row r="149" spans="1:13" ht="12">
      <c r="A149" s="139">
        <v>13</v>
      </c>
      <c r="B149" s="78">
        <v>145</v>
      </c>
      <c r="C149" s="79">
        <f t="shared" si="23"/>
        <v>15282.239644438481</v>
      </c>
      <c r="D149" s="79">
        <f t="shared" si="24"/>
        <v>1800</v>
      </c>
      <c r="E149" s="80">
        <f t="shared" si="27"/>
        <v>1800</v>
      </c>
      <c r="F149" s="79">
        <f t="shared" si="25"/>
        <v>966</v>
      </c>
      <c r="G149" s="79">
        <f t="shared" si="25"/>
        <v>4.41</v>
      </c>
      <c r="H149" s="79">
        <f t="shared" si="26"/>
        <v>3.6750000000000003</v>
      </c>
      <c r="I149" s="79">
        <f t="shared" si="19"/>
        <v>56.16223069331142</v>
      </c>
      <c r="J149" s="79">
        <f t="shared" si="20"/>
        <v>1743.8377693066886</v>
      </c>
      <c r="K149" s="79">
        <f t="shared" si="21"/>
        <v>15338.401875131793</v>
      </c>
      <c r="L149" s="79">
        <f>IF(C149&lt;=0,"还完了",SUM(E$5:E148)+K149)</f>
        <v>274538.40187513176</v>
      </c>
      <c r="M149" s="79">
        <f t="shared" si="22"/>
        <v>64538.40187513176</v>
      </c>
    </row>
    <row r="150" spans="1:13" ht="12">
      <c r="A150" s="139"/>
      <c r="B150" s="78">
        <v>146</v>
      </c>
      <c r="C150" s="79">
        <f t="shared" si="23"/>
        <v>13538.401875131793</v>
      </c>
      <c r="D150" s="79">
        <f t="shared" si="24"/>
        <v>1800</v>
      </c>
      <c r="E150" s="80">
        <f t="shared" si="27"/>
        <v>1800</v>
      </c>
      <c r="F150" s="79">
        <f t="shared" si="25"/>
        <v>966</v>
      </c>
      <c r="G150" s="79">
        <f t="shared" si="25"/>
        <v>4.41</v>
      </c>
      <c r="H150" s="79">
        <f t="shared" si="26"/>
        <v>3.6750000000000003</v>
      </c>
      <c r="I150" s="79">
        <f t="shared" si="19"/>
        <v>49.75362689110934</v>
      </c>
      <c r="J150" s="79">
        <f t="shared" si="20"/>
        <v>1750.2463731088906</v>
      </c>
      <c r="K150" s="79">
        <f t="shared" si="21"/>
        <v>13588.155502022903</v>
      </c>
      <c r="L150" s="79">
        <f>IF(C150&lt;=0,"还完了",SUM(E$5:E149)+K150)</f>
        <v>274588.1555020229</v>
      </c>
      <c r="M150" s="79">
        <f t="shared" si="22"/>
        <v>64588.155502022884</v>
      </c>
    </row>
    <row r="151" spans="1:13" ht="12">
      <c r="A151" s="139"/>
      <c r="B151" s="78">
        <v>147</v>
      </c>
      <c r="C151" s="79">
        <f t="shared" si="23"/>
        <v>11788.155502022903</v>
      </c>
      <c r="D151" s="79">
        <f t="shared" si="24"/>
        <v>1800</v>
      </c>
      <c r="E151" s="80">
        <f t="shared" si="27"/>
        <v>1800</v>
      </c>
      <c r="F151" s="79">
        <f t="shared" si="25"/>
        <v>966</v>
      </c>
      <c r="G151" s="79">
        <f t="shared" si="25"/>
        <v>4.41</v>
      </c>
      <c r="H151" s="79">
        <f t="shared" si="26"/>
        <v>3.6750000000000003</v>
      </c>
      <c r="I151" s="79">
        <f t="shared" si="19"/>
        <v>43.321471469934174</v>
      </c>
      <c r="J151" s="79">
        <f t="shared" si="20"/>
        <v>1756.678528530066</v>
      </c>
      <c r="K151" s="79">
        <f t="shared" si="21"/>
        <v>11831.476973492836</v>
      </c>
      <c r="L151" s="79">
        <f>IF(C151&lt;=0,"还完了",SUM(E$5:E150)+K151)</f>
        <v>274631.4769734928</v>
      </c>
      <c r="M151" s="79">
        <f t="shared" si="22"/>
        <v>64631.47697349283</v>
      </c>
    </row>
    <row r="152" spans="1:13" ht="12">
      <c r="A152" s="139"/>
      <c r="B152" s="78">
        <v>148</v>
      </c>
      <c r="C152" s="79">
        <f t="shared" si="23"/>
        <v>10031.476973492836</v>
      </c>
      <c r="D152" s="79">
        <f t="shared" si="24"/>
        <v>1800</v>
      </c>
      <c r="E152" s="80">
        <f t="shared" si="27"/>
        <v>1800</v>
      </c>
      <c r="F152" s="79">
        <f t="shared" si="25"/>
        <v>966</v>
      </c>
      <c r="G152" s="79">
        <f t="shared" si="25"/>
        <v>4.41</v>
      </c>
      <c r="H152" s="79">
        <f t="shared" si="26"/>
        <v>3.6750000000000003</v>
      </c>
      <c r="I152" s="79">
        <f t="shared" si="19"/>
        <v>36.86567787758617</v>
      </c>
      <c r="J152" s="79">
        <f t="shared" si="20"/>
        <v>1763.1343221224138</v>
      </c>
      <c r="K152" s="79">
        <f t="shared" si="21"/>
        <v>10068.342651370422</v>
      </c>
      <c r="L152" s="79">
        <f>IF(C152&lt;=0,"还完了",SUM(E$5:E151)+K152)</f>
        <v>274668.34265137045</v>
      </c>
      <c r="M152" s="79">
        <f t="shared" si="22"/>
        <v>64668.34265137045</v>
      </c>
    </row>
    <row r="153" spans="1:13" ht="12">
      <c r="A153" s="139"/>
      <c r="B153" s="78">
        <v>149</v>
      </c>
      <c r="C153" s="79">
        <f t="shared" si="23"/>
        <v>8268.342651370422</v>
      </c>
      <c r="D153" s="79">
        <f t="shared" si="24"/>
        <v>1800</v>
      </c>
      <c r="E153" s="80">
        <f t="shared" si="27"/>
        <v>1800</v>
      </c>
      <c r="F153" s="79">
        <f t="shared" si="25"/>
        <v>966</v>
      </c>
      <c r="G153" s="79">
        <f t="shared" si="25"/>
        <v>4.41</v>
      </c>
      <c r="H153" s="79">
        <f t="shared" si="26"/>
        <v>3.6750000000000003</v>
      </c>
      <c r="I153" s="79">
        <f t="shared" si="19"/>
        <v>30.3861592437863</v>
      </c>
      <c r="J153" s="79">
        <f t="shared" si="20"/>
        <v>1769.6138407562137</v>
      </c>
      <c r="K153" s="79">
        <f t="shared" si="21"/>
        <v>8298.728810614208</v>
      </c>
      <c r="L153" s="79">
        <f>IF(C153&lt;=0,"还完了",SUM(E$5:E152)+K153)</f>
        <v>274698.7288106142</v>
      </c>
      <c r="M153" s="79">
        <f t="shared" si="22"/>
        <v>64698.72881061421</v>
      </c>
    </row>
    <row r="154" spans="1:13" ht="12">
      <c r="A154" s="139"/>
      <c r="B154" s="78">
        <v>150</v>
      </c>
      <c r="C154" s="79">
        <f t="shared" si="23"/>
        <v>6498.728810614208</v>
      </c>
      <c r="D154" s="79">
        <f t="shared" si="24"/>
        <v>1800</v>
      </c>
      <c r="E154" s="80">
        <f t="shared" si="27"/>
        <v>1800</v>
      </c>
      <c r="F154" s="79">
        <f t="shared" si="25"/>
        <v>966</v>
      </c>
      <c r="G154" s="79">
        <f t="shared" si="25"/>
        <v>4.41</v>
      </c>
      <c r="H154" s="79">
        <f t="shared" si="26"/>
        <v>3.6750000000000003</v>
      </c>
      <c r="I154" s="79">
        <f t="shared" si="19"/>
        <v>23.882828379007215</v>
      </c>
      <c r="J154" s="79">
        <f t="shared" si="20"/>
        <v>1776.1171716209928</v>
      </c>
      <c r="K154" s="79">
        <f t="shared" si="21"/>
        <v>6522.611638993215</v>
      </c>
      <c r="L154" s="79">
        <f>IF(C154&lt;=0,"还完了",SUM(E$5:E153)+K154)</f>
        <v>274722.6116389932</v>
      </c>
      <c r="M154" s="79">
        <f t="shared" si="22"/>
        <v>64722.6116389932</v>
      </c>
    </row>
    <row r="155" spans="1:13" ht="12">
      <c r="A155" s="139"/>
      <c r="B155" s="78">
        <v>151</v>
      </c>
      <c r="C155" s="79">
        <f t="shared" si="23"/>
        <v>4722.611638993215</v>
      </c>
      <c r="D155" s="79">
        <f t="shared" si="24"/>
        <v>1800</v>
      </c>
      <c r="E155" s="80">
        <f t="shared" si="27"/>
        <v>1800</v>
      </c>
      <c r="F155" s="79">
        <f t="shared" si="25"/>
        <v>966</v>
      </c>
      <c r="G155" s="79">
        <f t="shared" si="25"/>
        <v>4.41</v>
      </c>
      <c r="H155" s="79">
        <f t="shared" si="26"/>
        <v>3.6750000000000003</v>
      </c>
      <c r="I155" s="79">
        <f t="shared" si="19"/>
        <v>17.355597773300065</v>
      </c>
      <c r="J155" s="79">
        <f t="shared" si="20"/>
        <v>1782.6444022266999</v>
      </c>
      <c r="K155" s="79">
        <f t="shared" si="21"/>
        <v>4739.967236766515</v>
      </c>
      <c r="L155" s="79">
        <f>IF(C155&lt;=0,"还完了",SUM(E$5:E154)+K155)</f>
        <v>274739.96723676653</v>
      </c>
      <c r="M155" s="79">
        <f t="shared" si="22"/>
        <v>64739.96723676653</v>
      </c>
    </row>
    <row r="156" spans="1:13" ht="12">
      <c r="A156" s="139"/>
      <c r="B156" s="78">
        <v>152</v>
      </c>
      <c r="C156" s="79">
        <f t="shared" si="23"/>
        <v>2939.9672367665153</v>
      </c>
      <c r="D156" s="79">
        <f t="shared" si="24"/>
        <v>1800</v>
      </c>
      <c r="E156" s="80">
        <f t="shared" si="27"/>
        <v>1800</v>
      </c>
      <c r="F156" s="79">
        <f t="shared" si="25"/>
        <v>966</v>
      </c>
      <c r="G156" s="79">
        <f t="shared" si="25"/>
        <v>4.41</v>
      </c>
      <c r="H156" s="79">
        <f t="shared" si="26"/>
        <v>3.6750000000000003</v>
      </c>
      <c r="I156" s="79">
        <f t="shared" si="19"/>
        <v>10.804379595116945</v>
      </c>
      <c r="J156" s="79">
        <f t="shared" si="20"/>
        <v>1789.1956204048831</v>
      </c>
      <c r="K156" s="79">
        <f t="shared" si="21"/>
        <v>2950.7716163616324</v>
      </c>
      <c r="L156" s="79">
        <f>IF(C156&lt;=0,"还完了",SUM(E$5:E155)+K156)</f>
        <v>274750.7716163616</v>
      </c>
      <c r="M156" s="79">
        <f t="shared" si="22"/>
        <v>64750.77161636163</v>
      </c>
    </row>
    <row r="157" spans="1:13" ht="12">
      <c r="A157" s="139"/>
      <c r="B157" s="78">
        <v>153</v>
      </c>
      <c r="C157" s="79">
        <f t="shared" si="23"/>
        <v>1150.7716163616321</v>
      </c>
      <c r="D157" s="79">
        <f t="shared" si="24"/>
        <v>1800</v>
      </c>
      <c r="E157" s="80">
        <f t="shared" si="27"/>
        <v>1800</v>
      </c>
      <c r="F157" s="79">
        <f t="shared" si="25"/>
        <v>966</v>
      </c>
      <c r="G157" s="79">
        <f t="shared" si="25"/>
        <v>4.41</v>
      </c>
      <c r="H157" s="79">
        <f t="shared" si="26"/>
        <v>3.6750000000000003</v>
      </c>
      <c r="I157" s="79">
        <f t="shared" si="19"/>
        <v>4.229085690128998</v>
      </c>
      <c r="J157" s="79">
        <f t="shared" si="20"/>
        <v>1795.770914309871</v>
      </c>
      <c r="K157" s="79">
        <f t="shared" si="21"/>
        <v>1155.0007020517612</v>
      </c>
      <c r="L157" s="79">
        <f>IF(C157&lt;=0,"还完了",SUM(E$5:E156)+K157)</f>
        <v>274755.00070205174</v>
      </c>
      <c r="M157" s="79">
        <f t="shared" si="22"/>
        <v>64755.00070205174</v>
      </c>
    </row>
    <row r="158" spans="1:13" ht="12">
      <c r="A158" s="139"/>
      <c r="B158" s="78">
        <v>154</v>
      </c>
      <c r="C158" s="79">
        <f t="shared" si="23"/>
        <v>-644.9992979482388</v>
      </c>
      <c r="D158" s="79">
        <f t="shared" si="24"/>
        <v>1800</v>
      </c>
      <c r="E158" s="80" t="str">
        <f t="shared" si="27"/>
        <v>还完了</v>
      </c>
      <c r="F158" s="79">
        <f t="shared" si="25"/>
        <v>966</v>
      </c>
      <c r="G158" s="79">
        <f t="shared" si="25"/>
        <v>4.41</v>
      </c>
      <c r="H158" s="79">
        <f t="shared" si="26"/>
        <v>3.6750000000000003</v>
      </c>
      <c r="I158" s="79">
        <f t="shared" si="19"/>
        <v>-2.3703724199597778</v>
      </c>
      <c r="J158" s="79" t="str">
        <f t="shared" si="20"/>
        <v>还完了</v>
      </c>
      <c r="K158" s="79" t="str">
        <f t="shared" si="21"/>
        <v>还完了</v>
      </c>
      <c r="L158" s="79" t="str">
        <f>IF(C158&lt;=0,"还完了",SUM(E$5:E157)+K158)</f>
        <v>还完了</v>
      </c>
      <c r="M158" s="79" t="str">
        <f t="shared" si="22"/>
        <v>还完了</v>
      </c>
    </row>
    <row r="159" spans="1:13" ht="12">
      <c r="A159" s="139"/>
      <c r="B159" s="78">
        <v>155</v>
      </c>
      <c r="C159" s="79">
        <f t="shared" si="23"/>
        <v>0</v>
      </c>
      <c r="D159" s="79">
        <f t="shared" si="24"/>
        <v>1800</v>
      </c>
      <c r="E159" s="80" t="str">
        <f t="shared" si="27"/>
        <v>还完了</v>
      </c>
      <c r="F159" s="79">
        <f t="shared" si="25"/>
        <v>966</v>
      </c>
      <c r="G159" s="79">
        <f t="shared" si="25"/>
        <v>4.41</v>
      </c>
      <c r="H159" s="79">
        <f t="shared" si="26"/>
        <v>3.6750000000000003</v>
      </c>
      <c r="I159" s="79">
        <f t="shared" si="19"/>
        <v>0</v>
      </c>
      <c r="J159" s="79" t="str">
        <f t="shared" si="20"/>
        <v>还完了</v>
      </c>
      <c r="K159" s="79" t="str">
        <f t="shared" si="21"/>
        <v>还完了</v>
      </c>
      <c r="L159" s="79" t="str">
        <f>IF(C159&lt;=0,"还完了",SUM(E$5:E158)+K159)</f>
        <v>还完了</v>
      </c>
      <c r="M159" s="79" t="str">
        <f t="shared" si="22"/>
        <v>还完了</v>
      </c>
    </row>
    <row r="160" spans="1:13" ht="12">
      <c r="A160" s="139"/>
      <c r="B160" s="78">
        <v>156</v>
      </c>
      <c r="C160" s="79">
        <f t="shared" si="23"/>
        <v>0</v>
      </c>
      <c r="D160" s="79">
        <f t="shared" si="24"/>
        <v>1800</v>
      </c>
      <c r="E160" s="80" t="str">
        <f t="shared" si="27"/>
        <v>还完了</v>
      </c>
      <c r="F160" s="79">
        <f t="shared" si="25"/>
        <v>966</v>
      </c>
      <c r="G160" s="79">
        <f t="shared" si="25"/>
        <v>4.41</v>
      </c>
      <c r="H160" s="79">
        <f t="shared" si="26"/>
        <v>3.6750000000000003</v>
      </c>
      <c r="I160" s="79">
        <f t="shared" si="19"/>
        <v>0</v>
      </c>
      <c r="J160" s="79" t="str">
        <f t="shared" si="20"/>
        <v>还完了</v>
      </c>
      <c r="K160" s="79" t="str">
        <f t="shared" si="21"/>
        <v>还完了</v>
      </c>
      <c r="L160" s="79" t="str">
        <f>IF(C160&lt;=0,"还完了",SUM(E$5:E159)+K160)</f>
        <v>还完了</v>
      </c>
      <c r="M160" s="79" t="str">
        <f t="shared" si="22"/>
        <v>还完了</v>
      </c>
    </row>
    <row r="161" spans="1:13" ht="12">
      <c r="A161" s="139">
        <v>14</v>
      </c>
      <c r="B161" s="78">
        <v>157</v>
      </c>
      <c r="C161" s="79">
        <f t="shared" si="23"/>
        <v>0</v>
      </c>
      <c r="D161" s="79">
        <f t="shared" si="24"/>
        <v>1800</v>
      </c>
      <c r="E161" s="80" t="str">
        <f t="shared" si="27"/>
        <v>还完了</v>
      </c>
      <c r="F161" s="79">
        <f t="shared" si="25"/>
        <v>966</v>
      </c>
      <c r="G161" s="79">
        <f t="shared" si="25"/>
        <v>4.41</v>
      </c>
      <c r="H161" s="79">
        <f t="shared" si="26"/>
        <v>3.6750000000000003</v>
      </c>
      <c r="I161" s="79">
        <f t="shared" si="19"/>
        <v>0</v>
      </c>
      <c r="J161" s="79" t="str">
        <f t="shared" si="20"/>
        <v>还完了</v>
      </c>
      <c r="K161" s="79" t="str">
        <f t="shared" si="21"/>
        <v>还完了</v>
      </c>
      <c r="L161" s="79" t="str">
        <f>IF(C161&lt;=0,"还完了",SUM(E$5:E160)+K161)</f>
        <v>还完了</v>
      </c>
      <c r="M161" s="79" t="str">
        <f t="shared" si="22"/>
        <v>还完了</v>
      </c>
    </row>
    <row r="162" spans="1:13" ht="12">
      <c r="A162" s="139"/>
      <c r="B162" s="78">
        <v>158</v>
      </c>
      <c r="C162" s="79">
        <f t="shared" si="23"/>
        <v>0</v>
      </c>
      <c r="D162" s="79">
        <f t="shared" si="24"/>
        <v>1800</v>
      </c>
      <c r="E162" s="80" t="str">
        <f t="shared" si="27"/>
        <v>还完了</v>
      </c>
      <c r="F162" s="79">
        <f t="shared" si="25"/>
        <v>966</v>
      </c>
      <c r="G162" s="79">
        <f t="shared" si="25"/>
        <v>4.41</v>
      </c>
      <c r="H162" s="79">
        <f t="shared" si="26"/>
        <v>3.6750000000000003</v>
      </c>
      <c r="I162" s="79">
        <f t="shared" si="19"/>
        <v>0</v>
      </c>
      <c r="J162" s="79" t="str">
        <f t="shared" si="20"/>
        <v>还完了</v>
      </c>
      <c r="K162" s="79" t="str">
        <f t="shared" si="21"/>
        <v>还完了</v>
      </c>
      <c r="L162" s="79" t="str">
        <f>IF(C162&lt;=0,"还完了",SUM(E$5:E161)+K162)</f>
        <v>还完了</v>
      </c>
      <c r="M162" s="79" t="str">
        <f t="shared" si="22"/>
        <v>还完了</v>
      </c>
    </row>
    <row r="163" spans="1:13" ht="12">
      <c r="A163" s="139"/>
      <c r="B163" s="78">
        <v>159</v>
      </c>
      <c r="C163" s="79">
        <f t="shared" si="23"/>
        <v>0</v>
      </c>
      <c r="D163" s="79">
        <f t="shared" si="24"/>
        <v>1800</v>
      </c>
      <c r="E163" s="80" t="str">
        <f t="shared" si="27"/>
        <v>还完了</v>
      </c>
      <c r="F163" s="79">
        <f t="shared" si="25"/>
        <v>966</v>
      </c>
      <c r="G163" s="79">
        <f t="shared" si="25"/>
        <v>4.41</v>
      </c>
      <c r="H163" s="79">
        <f t="shared" si="26"/>
        <v>3.6750000000000003</v>
      </c>
      <c r="I163" s="79">
        <f t="shared" si="19"/>
        <v>0</v>
      </c>
      <c r="J163" s="79" t="str">
        <f t="shared" si="20"/>
        <v>还完了</v>
      </c>
      <c r="K163" s="79" t="str">
        <f t="shared" si="21"/>
        <v>还完了</v>
      </c>
      <c r="L163" s="79" t="str">
        <f>IF(C163&lt;=0,"还完了",SUM(E$5:E162)+K163)</f>
        <v>还完了</v>
      </c>
      <c r="M163" s="79" t="str">
        <f t="shared" si="22"/>
        <v>还完了</v>
      </c>
    </row>
    <row r="164" spans="1:13" ht="12">
      <c r="A164" s="139"/>
      <c r="B164" s="78">
        <v>160</v>
      </c>
      <c r="C164" s="79">
        <f t="shared" si="23"/>
        <v>0</v>
      </c>
      <c r="D164" s="79">
        <f t="shared" si="24"/>
        <v>1800</v>
      </c>
      <c r="E164" s="80" t="str">
        <f t="shared" si="27"/>
        <v>还完了</v>
      </c>
      <c r="F164" s="79">
        <f t="shared" si="25"/>
        <v>966</v>
      </c>
      <c r="G164" s="79">
        <f t="shared" si="25"/>
        <v>4.41</v>
      </c>
      <c r="H164" s="79">
        <f t="shared" si="26"/>
        <v>3.6750000000000003</v>
      </c>
      <c r="I164" s="79">
        <f t="shared" si="19"/>
        <v>0</v>
      </c>
      <c r="J164" s="79" t="str">
        <f t="shared" si="20"/>
        <v>还完了</v>
      </c>
      <c r="K164" s="79" t="str">
        <f t="shared" si="21"/>
        <v>还完了</v>
      </c>
      <c r="L164" s="79" t="str">
        <f>IF(C164&lt;=0,"还完了",SUM(E$5:E163)+K164)</f>
        <v>还完了</v>
      </c>
      <c r="M164" s="79" t="str">
        <f t="shared" si="22"/>
        <v>还完了</v>
      </c>
    </row>
    <row r="165" spans="1:13" ht="12">
      <c r="A165" s="139"/>
      <c r="B165" s="78">
        <v>161</v>
      </c>
      <c r="C165" s="79">
        <f t="shared" si="23"/>
        <v>0</v>
      </c>
      <c r="D165" s="79">
        <f t="shared" si="24"/>
        <v>1800</v>
      </c>
      <c r="E165" s="80" t="str">
        <f t="shared" si="27"/>
        <v>还完了</v>
      </c>
      <c r="F165" s="79">
        <f t="shared" si="25"/>
        <v>966</v>
      </c>
      <c r="G165" s="79">
        <f t="shared" si="25"/>
        <v>4.41</v>
      </c>
      <c r="H165" s="79">
        <f t="shared" si="26"/>
        <v>3.6750000000000003</v>
      </c>
      <c r="I165" s="79">
        <f t="shared" si="19"/>
        <v>0</v>
      </c>
      <c r="J165" s="79" t="str">
        <f t="shared" si="20"/>
        <v>还完了</v>
      </c>
      <c r="K165" s="79" t="str">
        <f t="shared" si="21"/>
        <v>还完了</v>
      </c>
      <c r="L165" s="79" t="str">
        <f>IF(C165&lt;=0,"还完了",SUM(E$5:E164)+K165)</f>
        <v>还完了</v>
      </c>
      <c r="M165" s="79" t="str">
        <f t="shared" si="22"/>
        <v>还完了</v>
      </c>
    </row>
    <row r="166" spans="1:13" ht="12">
      <c r="A166" s="139"/>
      <c r="B166" s="78">
        <v>162</v>
      </c>
      <c r="C166" s="79">
        <f t="shared" si="23"/>
        <v>0</v>
      </c>
      <c r="D166" s="79">
        <f t="shared" si="24"/>
        <v>1800</v>
      </c>
      <c r="E166" s="80" t="str">
        <f t="shared" si="27"/>
        <v>还完了</v>
      </c>
      <c r="F166" s="79">
        <f t="shared" si="25"/>
        <v>966</v>
      </c>
      <c r="G166" s="79">
        <f t="shared" si="25"/>
        <v>4.41</v>
      </c>
      <c r="H166" s="79">
        <f t="shared" si="26"/>
        <v>3.6750000000000003</v>
      </c>
      <c r="I166" s="79">
        <f t="shared" si="19"/>
        <v>0</v>
      </c>
      <c r="J166" s="79" t="str">
        <f t="shared" si="20"/>
        <v>还完了</v>
      </c>
      <c r="K166" s="79" t="str">
        <f t="shared" si="21"/>
        <v>还完了</v>
      </c>
      <c r="L166" s="79" t="str">
        <f>IF(C166&lt;=0,"还完了",SUM(E$5:E165)+K166)</f>
        <v>还完了</v>
      </c>
      <c r="M166" s="79" t="str">
        <f t="shared" si="22"/>
        <v>还完了</v>
      </c>
    </row>
    <row r="167" spans="1:13" ht="12">
      <c r="A167" s="139"/>
      <c r="B167" s="78">
        <v>163</v>
      </c>
      <c r="C167" s="79">
        <f t="shared" si="23"/>
        <v>0</v>
      </c>
      <c r="D167" s="79">
        <f t="shared" si="24"/>
        <v>1800</v>
      </c>
      <c r="E167" s="80" t="str">
        <f t="shared" si="27"/>
        <v>还完了</v>
      </c>
      <c r="F167" s="79">
        <f t="shared" si="25"/>
        <v>966</v>
      </c>
      <c r="G167" s="79">
        <f t="shared" si="25"/>
        <v>4.41</v>
      </c>
      <c r="H167" s="79">
        <f t="shared" si="26"/>
        <v>3.6750000000000003</v>
      </c>
      <c r="I167" s="79">
        <f t="shared" si="19"/>
        <v>0</v>
      </c>
      <c r="J167" s="79" t="str">
        <f t="shared" si="20"/>
        <v>还完了</v>
      </c>
      <c r="K167" s="79" t="str">
        <f t="shared" si="21"/>
        <v>还完了</v>
      </c>
      <c r="L167" s="79" t="str">
        <f>IF(C167&lt;=0,"还完了",SUM(E$5:E166)+K167)</f>
        <v>还完了</v>
      </c>
      <c r="M167" s="79" t="str">
        <f t="shared" si="22"/>
        <v>还完了</v>
      </c>
    </row>
    <row r="168" spans="1:13" ht="12">
      <c r="A168" s="139"/>
      <c r="B168" s="78">
        <v>164</v>
      </c>
      <c r="C168" s="79">
        <f t="shared" si="23"/>
        <v>0</v>
      </c>
      <c r="D168" s="79">
        <f t="shared" si="24"/>
        <v>1800</v>
      </c>
      <c r="E168" s="80" t="str">
        <f t="shared" si="27"/>
        <v>还完了</v>
      </c>
      <c r="F168" s="79">
        <f t="shared" si="25"/>
        <v>966</v>
      </c>
      <c r="G168" s="79">
        <f t="shared" si="25"/>
        <v>4.41</v>
      </c>
      <c r="H168" s="79">
        <f t="shared" si="26"/>
        <v>3.6750000000000003</v>
      </c>
      <c r="I168" s="79">
        <f t="shared" si="19"/>
        <v>0</v>
      </c>
      <c r="J168" s="79" t="str">
        <f t="shared" si="20"/>
        <v>还完了</v>
      </c>
      <c r="K168" s="79" t="str">
        <f t="shared" si="21"/>
        <v>还完了</v>
      </c>
      <c r="L168" s="79" t="str">
        <f>IF(C168&lt;=0,"还完了",SUM(E$5:E167)+K168)</f>
        <v>还完了</v>
      </c>
      <c r="M168" s="79" t="str">
        <f t="shared" si="22"/>
        <v>还完了</v>
      </c>
    </row>
    <row r="169" spans="1:13" ht="12">
      <c r="A169" s="139"/>
      <c r="B169" s="78">
        <v>165</v>
      </c>
      <c r="C169" s="79">
        <f t="shared" si="23"/>
        <v>0</v>
      </c>
      <c r="D169" s="79">
        <f t="shared" si="24"/>
        <v>1800</v>
      </c>
      <c r="E169" s="80" t="str">
        <f t="shared" si="27"/>
        <v>还完了</v>
      </c>
      <c r="F169" s="79">
        <f t="shared" si="25"/>
        <v>966</v>
      </c>
      <c r="G169" s="79">
        <f t="shared" si="25"/>
        <v>4.41</v>
      </c>
      <c r="H169" s="79">
        <f t="shared" si="26"/>
        <v>3.6750000000000003</v>
      </c>
      <c r="I169" s="79">
        <f t="shared" si="19"/>
        <v>0</v>
      </c>
      <c r="J169" s="79" t="str">
        <f t="shared" si="20"/>
        <v>还完了</v>
      </c>
      <c r="K169" s="79" t="str">
        <f t="shared" si="21"/>
        <v>还完了</v>
      </c>
      <c r="L169" s="79" t="str">
        <f>IF(C169&lt;=0,"还完了",SUM(E$5:E168)+K169)</f>
        <v>还完了</v>
      </c>
      <c r="M169" s="79" t="str">
        <f t="shared" si="22"/>
        <v>还完了</v>
      </c>
    </row>
    <row r="170" spans="1:13" ht="12">
      <c r="A170" s="139"/>
      <c r="B170" s="78">
        <v>166</v>
      </c>
      <c r="C170" s="79">
        <f t="shared" si="23"/>
        <v>0</v>
      </c>
      <c r="D170" s="79">
        <f t="shared" si="24"/>
        <v>1800</v>
      </c>
      <c r="E170" s="80" t="str">
        <f t="shared" si="27"/>
        <v>还完了</v>
      </c>
      <c r="F170" s="79">
        <f t="shared" si="25"/>
        <v>966</v>
      </c>
      <c r="G170" s="79">
        <f t="shared" si="25"/>
        <v>4.41</v>
      </c>
      <c r="H170" s="79">
        <f t="shared" si="26"/>
        <v>3.6750000000000003</v>
      </c>
      <c r="I170" s="79">
        <f t="shared" si="19"/>
        <v>0</v>
      </c>
      <c r="J170" s="79" t="str">
        <f t="shared" si="20"/>
        <v>还完了</v>
      </c>
      <c r="K170" s="79" t="str">
        <f t="shared" si="21"/>
        <v>还完了</v>
      </c>
      <c r="L170" s="79" t="str">
        <f>IF(C170&lt;=0,"还完了",SUM(E$5:E169)+K170)</f>
        <v>还完了</v>
      </c>
      <c r="M170" s="79" t="str">
        <f t="shared" si="22"/>
        <v>还完了</v>
      </c>
    </row>
    <row r="171" spans="1:13" ht="12">
      <c r="A171" s="139"/>
      <c r="B171" s="78">
        <v>167</v>
      </c>
      <c r="C171" s="79">
        <f t="shared" si="23"/>
        <v>0</v>
      </c>
      <c r="D171" s="79">
        <f t="shared" si="24"/>
        <v>1800</v>
      </c>
      <c r="E171" s="80" t="str">
        <f t="shared" si="27"/>
        <v>还完了</v>
      </c>
      <c r="F171" s="79">
        <f t="shared" si="25"/>
        <v>966</v>
      </c>
      <c r="G171" s="79">
        <f t="shared" si="25"/>
        <v>4.41</v>
      </c>
      <c r="H171" s="79">
        <f t="shared" si="26"/>
        <v>3.6750000000000003</v>
      </c>
      <c r="I171" s="79">
        <f t="shared" si="19"/>
        <v>0</v>
      </c>
      <c r="J171" s="79" t="str">
        <f t="shared" si="20"/>
        <v>还完了</v>
      </c>
      <c r="K171" s="79" t="str">
        <f t="shared" si="21"/>
        <v>还完了</v>
      </c>
      <c r="L171" s="79" t="str">
        <f>IF(C171&lt;=0,"还完了",SUM(E$5:E170)+K171)</f>
        <v>还完了</v>
      </c>
      <c r="M171" s="79" t="str">
        <f t="shared" si="22"/>
        <v>还完了</v>
      </c>
    </row>
    <row r="172" spans="1:13" ht="12">
      <c r="A172" s="139"/>
      <c r="B172" s="78">
        <v>168</v>
      </c>
      <c r="C172" s="79">
        <f t="shared" si="23"/>
        <v>0</v>
      </c>
      <c r="D172" s="79">
        <f t="shared" si="24"/>
        <v>1800</v>
      </c>
      <c r="E172" s="80" t="str">
        <f t="shared" si="27"/>
        <v>还完了</v>
      </c>
      <c r="F172" s="79">
        <f t="shared" si="25"/>
        <v>966</v>
      </c>
      <c r="G172" s="79">
        <f t="shared" si="25"/>
        <v>4.41</v>
      </c>
      <c r="H172" s="79">
        <f t="shared" si="26"/>
        <v>3.6750000000000003</v>
      </c>
      <c r="I172" s="79">
        <f t="shared" si="19"/>
        <v>0</v>
      </c>
      <c r="J172" s="79" t="str">
        <f t="shared" si="20"/>
        <v>还完了</v>
      </c>
      <c r="K172" s="79" t="str">
        <f t="shared" si="21"/>
        <v>还完了</v>
      </c>
      <c r="L172" s="79" t="str">
        <f>IF(C172&lt;=0,"还完了",SUM(E$5:E171)+K172)</f>
        <v>还完了</v>
      </c>
      <c r="M172" s="79" t="str">
        <f t="shared" si="22"/>
        <v>还完了</v>
      </c>
    </row>
    <row r="173" spans="1:13" ht="12">
      <c r="A173" s="133">
        <v>15</v>
      </c>
      <c r="B173" s="78">
        <v>169</v>
      </c>
      <c r="C173" s="79">
        <f t="shared" si="23"/>
        <v>0</v>
      </c>
      <c r="D173" s="79">
        <f t="shared" si="24"/>
        <v>1800</v>
      </c>
      <c r="E173" s="80" t="str">
        <f t="shared" si="27"/>
        <v>还完了</v>
      </c>
      <c r="F173" s="79">
        <f t="shared" si="25"/>
        <v>966</v>
      </c>
      <c r="G173" s="79">
        <f t="shared" si="25"/>
        <v>4.41</v>
      </c>
      <c r="H173" s="79">
        <f t="shared" si="26"/>
        <v>3.6750000000000003</v>
      </c>
      <c r="I173" s="79">
        <f t="shared" si="19"/>
        <v>0</v>
      </c>
      <c r="J173" s="79" t="str">
        <f t="shared" si="20"/>
        <v>还完了</v>
      </c>
      <c r="K173" s="79" t="str">
        <f t="shared" si="21"/>
        <v>还完了</v>
      </c>
      <c r="L173" s="79" t="str">
        <f>IF(C173&lt;=0,"还完了",SUM(E$5:E172)+K173)</f>
        <v>还完了</v>
      </c>
      <c r="M173" s="79" t="str">
        <f t="shared" si="22"/>
        <v>还完了</v>
      </c>
    </row>
    <row r="174" spans="1:13" ht="12">
      <c r="A174" s="134"/>
      <c r="B174" s="78">
        <v>170</v>
      </c>
      <c r="C174" s="79">
        <f t="shared" si="23"/>
        <v>0</v>
      </c>
      <c r="D174" s="79">
        <f t="shared" si="24"/>
        <v>1800</v>
      </c>
      <c r="E174" s="80" t="str">
        <f t="shared" si="27"/>
        <v>还完了</v>
      </c>
      <c r="F174" s="79">
        <f t="shared" si="25"/>
        <v>966</v>
      </c>
      <c r="G174" s="79">
        <f t="shared" si="25"/>
        <v>4.41</v>
      </c>
      <c r="H174" s="79">
        <f t="shared" si="26"/>
        <v>3.6750000000000003</v>
      </c>
      <c r="I174" s="79">
        <f t="shared" si="19"/>
        <v>0</v>
      </c>
      <c r="J174" s="79" t="str">
        <f t="shared" si="20"/>
        <v>还完了</v>
      </c>
      <c r="K174" s="79" t="str">
        <f t="shared" si="21"/>
        <v>还完了</v>
      </c>
      <c r="L174" s="79" t="str">
        <f>IF(C174&lt;=0,"还完了",SUM(E$5:E173)+K174)</f>
        <v>还完了</v>
      </c>
      <c r="M174" s="79" t="str">
        <f t="shared" si="22"/>
        <v>还完了</v>
      </c>
    </row>
    <row r="175" spans="1:13" ht="12">
      <c r="A175" s="134"/>
      <c r="B175" s="78">
        <v>171</v>
      </c>
      <c r="C175" s="79">
        <f t="shared" si="23"/>
        <v>0</v>
      </c>
      <c r="D175" s="79">
        <f t="shared" si="24"/>
        <v>1800</v>
      </c>
      <c r="E175" s="80" t="str">
        <f t="shared" si="27"/>
        <v>还完了</v>
      </c>
      <c r="F175" s="79">
        <f t="shared" si="25"/>
        <v>966</v>
      </c>
      <c r="G175" s="79">
        <f t="shared" si="25"/>
        <v>4.41</v>
      </c>
      <c r="H175" s="79">
        <f t="shared" si="26"/>
        <v>3.6750000000000003</v>
      </c>
      <c r="I175" s="79">
        <f t="shared" si="19"/>
        <v>0</v>
      </c>
      <c r="J175" s="79" t="str">
        <f t="shared" si="20"/>
        <v>还完了</v>
      </c>
      <c r="K175" s="79" t="str">
        <f t="shared" si="21"/>
        <v>还完了</v>
      </c>
      <c r="L175" s="79" t="str">
        <f>IF(C175&lt;=0,"还完了",SUM(E$5:E174)+K175)</f>
        <v>还完了</v>
      </c>
      <c r="M175" s="79" t="str">
        <f t="shared" si="22"/>
        <v>还完了</v>
      </c>
    </row>
    <row r="176" spans="1:13" ht="12">
      <c r="A176" s="134"/>
      <c r="B176" s="78">
        <v>172</v>
      </c>
      <c r="C176" s="79">
        <f t="shared" si="23"/>
        <v>0</v>
      </c>
      <c r="D176" s="79">
        <f t="shared" si="24"/>
        <v>1800</v>
      </c>
      <c r="E176" s="80" t="str">
        <f t="shared" si="27"/>
        <v>还完了</v>
      </c>
      <c r="F176" s="79">
        <f t="shared" si="25"/>
        <v>966</v>
      </c>
      <c r="G176" s="79">
        <f t="shared" si="25"/>
        <v>4.41</v>
      </c>
      <c r="H176" s="79">
        <f t="shared" si="26"/>
        <v>3.6750000000000003</v>
      </c>
      <c r="I176" s="79">
        <f t="shared" si="19"/>
        <v>0</v>
      </c>
      <c r="J176" s="79" t="str">
        <f t="shared" si="20"/>
        <v>还完了</v>
      </c>
      <c r="K176" s="79" t="str">
        <f t="shared" si="21"/>
        <v>还完了</v>
      </c>
      <c r="L176" s="79" t="str">
        <f>IF(C176&lt;=0,"还完了",SUM(E$5:E175)+K176)</f>
        <v>还完了</v>
      </c>
      <c r="M176" s="79" t="str">
        <f t="shared" si="22"/>
        <v>还完了</v>
      </c>
    </row>
    <row r="177" spans="1:13" ht="12">
      <c r="A177" s="134"/>
      <c r="B177" s="78">
        <v>173</v>
      </c>
      <c r="C177" s="79">
        <f t="shared" si="23"/>
        <v>0</v>
      </c>
      <c r="D177" s="79">
        <f t="shared" si="24"/>
        <v>1800</v>
      </c>
      <c r="E177" s="80" t="str">
        <f t="shared" si="27"/>
        <v>还完了</v>
      </c>
      <c r="F177" s="79">
        <f t="shared" si="25"/>
        <v>966</v>
      </c>
      <c r="G177" s="79">
        <f t="shared" si="25"/>
        <v>4.41</v>
      </c>
      <c r="H177" s="79">
        <f t="shared" si="26"/>
        <v>3.6750000000000003</v>
      </c>
      <c r="I177" s="79">
        <f t="shared" si="19"/>
        <v>0</v>
      </c>
      <c r="J177" s="79" t="str">
        <f t="shared" si="20"/>
        <v>还完了</v>
      </c>
      <c r="K177" s="79" t="str">
        <f t="shared" si="21"/>
        <v>还完了</v>
      </c>
      <c r="L177" s="79" t="str">
        <f>IF(C177&lt;=0,"还完了",SUM(E$5:E176)+K177)</f>
        <v>还完了</v>
      </c>
      <c r="M177" s="79" t="str">
        <f t="shared" si="22"/>
        <v>还完了</v>
      </c>
    </row>
    <row r="178" spans="1:13" ht="12">
      <c r="A178" s="134"/>
      <c r="B178" s="78">
        <v>174</v>
      </c>
      <c r="C178" s="79">
        <f t="shared" si="23"/>
        <v>0</v>
      </c>
      <c r="D178" s="79">
        <f t="shared" si="24"/>
        <v>1800</v>
      </c>
      <c r="E178" s="80" t="str">
        <f t="shared" si="27"/>
        <v>还完了</v>
      </c>
      <c r="F178" s="79">
        <f t="shared" si="25"/>
        <v>966</v>
      </c>
      <c r="G178" s="79">
        <f t="shared" si="25"/>
        <v>4.41</v>
      </c>
      <c r="H178" s="79">
        <f t="shared" si="26"/>
        <v>3.6750000000000003</v>
      </c>
      <c r="I178" s="79">
        <f t="shared" si="19"/>
        <v>0</v>
      </c>
      <c r="J178" s="79" t="str">
        <f t="shared" si="20"/>
        <v>还完了</v>
      </c>
      <c r="K178" s="79" t="str">
        <f t="shared" si="21"/>
        <v>还完了</v>
      </c>
      <c r="L178" s="79" t="str">
        <f>IF(C178&lt;=0,"还完了",SUM(E$5:E177)+K178)</f>
        <v>还完了</v>
      </c>
      <c r="M178" s="79" t="str">
        <f t="shared" si="22"/>
        <v>还完了</v>
      </c>
    </row>
    <row r="179" spans="1:13" ht="12">
      <c r="A179" s="134"/>
      <c r="B179" s="78">
        <v>175</v>
      </c>
      <c r="C179" s="79">
        <f t="shared" si="23"/>
        <v>0</v>
      </c>
      <c r="D179" s="79">
        <f t="shared" si="24"/>
        <v>1800</v>
      </c>
      <c r="E179" s="80" t="str">
        <f t="shared" si="27"/>
        <v>还完了</v>
      </c>
      <c r="F179" s="79">
        <f t="shared" si="25"/>
        <v>966</v>
      </c>
      <c r="G179" s="79">
        <f t="shared" si="25"/>
        <v>4.41</v>
      </c>
      <c r="H179" s="79">
        <f t="shared" si="26"/>
        <v>3.6750000000000003</v>
      </c>
      <c r="I179" s="79">
        <f t="shared" si="19"/>
        <v>0</v>
      </c>
      <c r="J179" s="79" t="str">
        <f t="shared" si="20"/>
        <v>还完了</v>
      </c>
      <c r="K179" s="79" t="str">
        <f t="shared" si="21"/>
        <v>还完了</v>
      </c>
      <c r="L179" s="79" t="str">
        <f>IF(C179&lt;=0,"还完了",SUM(E$5:E178)+K179)</f>
        <v>还完了</v>
      </c>
      <c r="M179" s="79" t="str">
        <f t="shared" si="22"/>
        <v>还完了</v>
      </c>
    </row>
    <row r="180" spans="1:13" ht="12">
      <c r="A180" s="134"/>
      <c r="B180" s="78">
        <v>176</v>
      </c>
      <c r="C180" s="79">
        <f t="shared" si="23"/>
        <v>0</v>
      </c>
      <c r="D180" s="79">
        <f t="shared" si="24"/>
        <v>1800</v>
      </c>
      <c r="E180" s="80" t="str">
        <f t="shared" si="27"/>
        <v>还完了</v>
      </c>
      <c r="F180" s="79">
        <f t="shared" si="25"/>
        <v>966</v>
      </c>
      <c r="G180" s="79">
        <f t="shared" si="25"/>
        <v>4.41</v>
      </c>
      <c r="H180" s="79">
        <f t="shared" si="26"/>
        <v>3.6750000000000003</v>
      </c>
      <c r="I180" s="79">
        <f t="shared" si="19"/>
        <v>0</v>
      </c>
      <c r="J180" s="79" t="str">
        <f t="shared" si="20"/>
        <v>还完了</v>
      </c>
      <c r="K180" s="79" t="str">
        <f t="shared" si="21"/>
        <v>还完了</v>
      </c>
      <c r="L180" s="79" t="str">
        <f>IF(C180&lt;=0,"还完了",SUM(E$5:E179)+K180)</f>
        <v>还完了</v>
      </c>
      <c r="M180" s="79" t="str">
        <f t="shared" si="22"/>
        <v>还完了</v>
      </c>
    </row>
    <row r="181" spans="1:13" ht="12">
      <c r="A181" s="134"/>
      <c r="B181" s="78">
        <v>177</v>
      </c>
      <c r="C181" s="79">
        <f t="shared" si="23"/>
        <v>0</v>
      </c>
      <c r="D181" s="79">
        <f t="shared" si="24"/>
        <v>1800</v>
      </c>
      <c r="E181" s="80" t="str">
        <f t="shared" si="27"/>
        <v>还完了</v>
      </c>
      <c r="F181" s="79">
        <f t="shared" si="25"/>
        <v>966</v>
      </c>
      <c r="G181" s="79">
        <f t="shared" si="25"/>
        <v>4.41</v>
      </c>
      <c r="H181" s="79">
        <f t="shared" si="26"/>
        <v>3.6750000000000003</v>
      </c>
      <c r="I181" s="79">
        <f t="shared" si="19"/>
        <v>0</v>
      </c>
      <c r="J181" s="79" t="str">
        <f t="shared" si="20"/>
        <v>还完了</v>
      </c>
      <c r="K181" s="79" t="str">
        <f t="shared" si="21"/>
        <v>还完了</v>
      </c>
      <c r="L181" s="79" t="str">
        <f>IF(C181&lt;=0,"还完了",SUM(E$5:E180)+K181)</f>
        <v>还完了</v>
      </c>
      <c r="M181" s="79" t="str">
        <f t="shared" si="22"/>
        <v>还完了</v>
      </c>
    </row>
    <row r="182" spans="1:13" ht="12">
      <c r="A182" s="134"/>
      <c r="B182" s="78">
        <v>178</v>
      </c>
      <c r="C182" s="79">
        <f t="shared" si="23"/>
        <v>0</v>
      </c>
      <c r="D182" s="79">
        <f t="shared" si="24"/>
        <v>1800</v>
      </c>
      <c r="E182" s="80" t="str">
        <f t="shared" si="27"/>
        <v>还完了</v>
      </c>
      <c r="F182" s="79">
        <f t="shared" si="25"/>
        <v>966</v>
      </c>
      <c r="G182" s="79">
        <f t="shared" si="25"/>
        <v>4.41</v>
      </c>
      <c r="H182" s="79">
        <f t="shared" si="26"/>
        <v>3.6750000000000003</v>
      </c>
      <c r="I182" s="79">
        <f t="shared" si="19"/>
        <v>0</v>
      </c>
      <c r="J182" s="79" t="str">
        <f t="shared" si="20"/>
        <v>还完了</v>
      </c>
      <c r="K182" s="79" t="str">
        <f t="shared" si="21"/>
        <v>还完了</v>
      </c>
      <c r="L182" s="79" t="str">
        <f>IF(C182&lt;=0,"还完了",SUM(E$5:E181)+K182)</f>
        <v>还完了</v>
      </c>
      <c r="M182" s="79" t="str">
        <f t="shared" si="22"/>
        <v>还完了</v>
      </c>
    </row>
    <row r="183" spans="1:13" ht="12">
      <c r="A183" s="134"/>
      <c r="B183" s="78">
        <v>179</v>
      </c>
      <c r="C183" s="79">
        <f t="shared" si="23"/>
        <v>0</v>
      </c>
      <c r="D183" s="79">
        <f t="shared" si="24"/>
        <v>1800</v>
      </c>
      <c r="E183" s="80" t="str">
        <f t="shared" si="27"/>
        <v>还完了</v>
      </c>
      <c r="F183" s="79">
        <f t="shared" si="25"/>
        <v>966</v>
      </c>
      <c r="G183" s="79">
        <f t="shared" si="25"/>
        <v>4.41</v>
      </c>
      <c r="H183" s="79">
        <f t="shared" si="26"/>
        <v>3.6750000000000003</v>
      </c>
      <c r="I183" s="79">
        <f t="shared" si="19"/>
        <v>0</v>
      </c>
      <c r="J183" s="79" t="str">
        <f t="shared" si="20"/>
        <v>还完了</v>
      </c>
      <c r="K183" s="79" t="str">
        <f t="shared" si="21"/>
        <v>还完了</v>
      </c>
      <c r="L183" s="79" t="str">
        <f>IF(C183&lt;=0,"还完了",SUM(E$5:E182)+K183)</f>
        <v>还完了</v>
      </c>
      <c r="M183" s="79" t="str">
        <f t="shared" si="22"/>
        <v>还完了</v>
      </c>
    </row>
    <row r="184" spans="1:13" ht="12">
      <c r="A184" s="110"/>
      <c r="B184" s="78">
        <v>180</v>
      </c>
      <c r="C184" s="79">
        <f t="shared" si="23"/>
        <v>0</v>
      </c>
      <c r="D184" s="79">
        <f t="shared" si="24"/>
        <v>1800</v>
      </c>
      <c r="E184" s="80" t="str">
        <f t="shared" si="27"/>
        <v>还完了</v>
      </c>
      <c r="F184" s="79">
        <f t="shared" si="25"/>
        <v>966</v>
      </c>
      <c r="G184" s="79">
        <f t="shared" si="25"/>
        <v>4.41</v>
      </c>
      <c r="H184" s="79">
        <f t="shared" si="26"/>
        <v>3.6750000000000003</v>
      </c>
      <c r="I184" s="79">
        <f t="shared" si="19"/>
        <v>0</v>
      </c>
      <c r="J184" s="79" t="str">
        <f>IF(C184&lt;=0,"还完了",E184-I184)</f>
        <v>还完了</v>
      </c>
      <c r="K184" s="79" t="str">
        <f>IF(C184&lt;=0,"还完了",E184+C185)</f>
        <v>还完了</v>
      </c>
      <c r="L184" s="79" t="str">
        <f>IF(C184&lt;=0,"还完了",SUM(E$5:E183)+K184)</f>
        <v>还完了</v>
      </c>
      <c r="M184" s="79" t="str">
        <f>IF(C184&lt;=0,"还完了",L184-C$5)</f>
        <v>还完了</v>
      </c>
    </row>
    <row r="185" spans="1:13" ht="12">
      <c r="A185" s="133">
        <v>16</v>
      </c>
      <c r="B185" s="78">
        <v>181</v>
      </c>
      <c r="C185" s="79">
        <f aca="true" t="shared" si="28" ref="C185:C204">IF(C184&gt;0,C184-J184,0)</f>
        <v>0</v>
      </c>
      <c r="D185" s="79">
        <f aca="true" t="shared" si="29" ref="D185:D204">D184</f>
        <v>1800</v>
      </c>
      <c r="E185" s="80" t="str">
        <f t="shared" si="27"/>
        <v>还完了</v>
      </c>
      <c r="F185" s="79">
        <f aca="true" t="shared" si="30" ref="F185:F204">F184</f>
        <v>966</v>
      </c>
      <c r="G185" s="79">
        <f aca="true" t="shared" si="31" ref="G185:G204">G184</f>
        <v>4.41</v>
      </c>
      <c r="H185" s="79">
        <f t="shared" si="26"/>
        <v>3.6750000000000003</v>
      </c>
      <c r="I185" s="79">
        <f aca="true" t="shared" si="32" ref="I185:I204">C185*H185/1000</f>
        <v>0</v>
      </c>
      <c r="J185" s="79" t="str">
        <f aca="true" t="shared" si="33" ref="J185:J203">IF(C185&lt;=0,"还完了",E185-I185)</f>
        <v>还完了</v>
      </c>
      <c r="K185" s="79" t="str">
        <f aca="true" t="shared" si="34" ref="K185:K203">IF(C185&lt;=0,"还完了",E185+C186)</f>
        <v>还完了</v>
      </c>
      <c r="L185" s="79" t="str">
        <f>IF(C185&lt;=0,"还完了",SUM(E$5:E184)+K185)</f>
        <v>还完了</v>
      </c>
      <c r="M185" s="79" t="str">
        <f aca="true" t="shared" si="35" ref="M185:M203">IF(C185&lt;=0,"还完了",L185-C$5)</f>
        <v>还完了</v>
      </c>
    </row>
    <row r="186" spans="1:13" ht="12">
      <c r="A186" s="134"/>
      <c r="B186" s="78">
        <v>182</v>
      </c>
      <c r="C186" s="79">
        <f t="shared" si="28"/>
        <v>0</v>
      </c>
      <c r="D186" s="79">
        <f t="shared" si="29"/>
        <v>1800</v>
      </c>
      <c r="E186" s="80" t="str">
        <f t="shared" si="27"/>
        <v>还完了</v>
      </c>
      <c r="F186" s="79">
        <f t="shared" si="30"/>
        <v>966</v>
      </c>
      <c r="G186" s="79">
        <f t="shared" si="31"/>
        <v>4.41</v>
      </c>
      <c r="H186" s="79">
        <f t="shared" si="26"/>
        <v>3.6750000000000003</v>
      </c>
      <c r="I186" s="79">
        <f t="shared" si="32"/>
        <v>0</v>
      </c>
      <c r="J186" s="79" t="str">
        <f t="shared" si="33"/>
        <v>还完了</v>
      </c>
      <c r="K186" s="79" t="str">
        <f t="shared" si="34"/>
        <v>还完了</v>
      </c>
      <c r="L186" s="79" t="str">
        <f>IF(C186&lt;=0,"还完了",SUM(E$5:E185)+K186)</f>
        <v>还完了</v>
      </c>
      <c r="M186" s="79" t="str">
        <f t="shared" si="35"/>
        <v>还完了</v>
      </c>
    </row>
    <row r="187" spans="1:13" ht="12">
      <c r="A187" s="134"/>
      <c r="B187" s="78">
        <v>183</v>
      </c>
      <c r="C187" s="79">
        <f t="shared" si="28"/>
        <v>0</v>
      </c>
      <c r="D187" s="79">
        <f t="shared" si="29"/>
        <v>1800</v>
      </c>
      <c r="E187" s="80" t="str">
        <f t="shared" si="27"/>
        <v>还完了</v>
      </c>
      <c r="F187" s="79">
        <f t="shared" si="30"/>
        <v>966</v>
      </c>
      <c r="G187" s="79">
        <f t="shared" si="31"/>
        <v>4.41</v>
      </c>
      <c r="H187" s="79">
        <f t="shared" si="26"/>
        <v>3.6750000000000003</v>
      </c>
      <c r="I187" s="79">
        <f t="shared" si="32"/>
        <v>0</v>
      </c>
      <c r="J187" s="79" t="str">
        <f t="shared" si="33"/>
        <v>还完了</v>
      </c>
      <c r="K187" s="79" t="str">
        <f t="shared" si="34"/>
        <v>还完了</v>
      </c>
      <c r="L187" s="79" t="str">
        <f>IF(C187&lt;=0,"还完了",SUM(E$5:E186)+K187)</f>
        <v>还完了</v>
      </c>
      <c r="M187" s="79" t="str">
        <f t="shared" si="35"/>
        <v>还完了</v>
      </c>
    </row>
    <row r="188" spans="1:13" ht="12">
      <c r="A188" s="134"/>
      <c r="B188" s="78">
        <v>184</v>
      </c>
      <c r="C188" s="79">
        <f t="shared" si="28"/>
        <v>0</v>
      </c>
      <c r="D188" s="79">
        <f t="shared" si="29"/>
        <v>1800</v>
      </c>
      <c r="E188" s="80" t="str">
        <f t="shared" si="27"/>
        <v>还完了</v>
      </c>
      <c r="F188" s="79">
        <f t="shared" si="30"/>
        <v>966</v>
      </c>
      <c r="G188" s="79">
        <f t="shared" si="31"/>
        <v>4.41</v>
      </c>
      <c r="H188" s="79">
        <f t="shared" si="26"/>
        <v>3.6750000000000003</v>
      </c>
      <c r="I188" s="79">
        <f t="shared" si="32"/>
        <v>0</v>
      </c>
      <c r="J188" s="79" t="str">
        <f t="shared" si="33"/>
        <v>还完了</v>
      </c>
      <c r="K188" s="79" t="str">
        <f t="shared" si="34"/>
        <v>还完了</v>
      </c>
      <c r="L188" s="79" t="str">
        <f>IF(C188&lt;=0,"还完了",SUM(E$5:E187)+K188)</f>
        <v>还完了</v>
      </c>
      <c r="M188" s="79" t="str">
        <f t="shared" si="35"/>
        <v>还完了</v>
      </c>
    </row>
    <row r="189" spans="1:13" ht="12">
      <c r="A189" s="134"/>
      <c r="B189" s="78">
        <v>185</v>
      </c>
      <c r="C189" s="79">
        <f t="shared" si="28"/>
        <v>0</v>
      </c>
      <c r="D189" s="79">
        <f t="shared" si="29"/>
        <v>1800</v>
      </c>
      <c r="E189" s="80" t="str">
        <f t="shared" si="27"/>
        <v>还完了</v>
      </c>
      <c r="F189" s="79">
        <f t="shared" si="30"/>
        <v>966</v>
      </c>
      <c r="G189" s="79">
        <f t="shared" si="31"/>
        <v>4.41</v>
      </c>
      <c r="H189" s="79">
        <f t="shared" si="26"/>
        <v>3.6750000000000003</v>
      </c>
      <c r="I189" s="79">
        <f t="shared" si="32"/>
        <v>0</v>
      </c>
      <c r="J189" s="79" t="str">
        <f t="shared" si="33"/>
        <v>还完了</v>
      </c>
      <c r="K189" s="79" t="str">
        <f t="shared" si="34"/>
        <v>还完了</v>
      </c>
      <c r="L189" s="79" t="str">
        <f>IF(C189&lt;=0,"还完了",SUM(E$5:E188)+K189)</f>
        <v>还完了</v>
      </c>
      <c r="M189" s="79" t="str">
        <f t="shared" si="35"/>
        <v>还完了</v>
      </c>
    </row>
    <row r="190" spans="1:13" ht="12">
      <c r="A190" s="134"/>
      <c r="B190" s="78">
        <v>186</v>
      </c>
      <c r="C190" s="79">
        <f t="shared" si="28"/>
        <v>0</v>
      </c>
      <c r="D190" s="79">
        <f t="shared" si="29"/>
        <v>1800</v>
      </c>
      <c r="E190" s="80" t="str">
        <f t="shared" si="27"/>
        <v>还完了</v>
      </c>
      <c r="F190" s="79">
        <f t="shared" si="30"/>
        <v>966</v>
      </c>
      <c r="G190" s="79">
        <f t="shared" si="31"/>
        <v>4.41</v>
      </c>
      <c r="H190" s="79">
        <f t="shared" si="26"/>
        <v>3.6750000000000003</v>
      </c>
      <c r="I190" s="79">
        <f t="shared" si="32"/>
        <v>0</v>
      </c>
      <c r="J190" s="79" t="str">
        <f t="shared" si="33"/>
        <v>还完了</v>
      </c>
      <c r="K190" s="79" t="str">
        <f t="shared" si="34"/>
        <v>还完了</v>
      </c>
      <c r="L190" s="79" t="str">
        <f>IF(C190&lt;=0,"还完了",SUM(E$5:E189)+K190)</f>
        <v>还完了</v>
      </c>
      <c r="M190" s="79" t="str">
        <f t="shared" si="35"/>
        <v>还完了</v>
      </c>
    </row>
    <row r="191" spans="1:13" ht="12">
      <c r="A191" s="134"/>
      <c r="B191" s="78">
        <v>187</v>
      </c>
      <c r="C191" s="79">
        <f t="shared" si="28"/>
        <v>0</v>
      </c>
      <c r="D191" s="79">
        <f t="shared" si="29"/>
        <v>1800</v>
      </c>
      <c r="E191" s="80" t="str">
        <f t="shared" si="27"/>
        <v>还完了</v>
      </c>
      <c r="F191" s="79">
        <f t="shared" si="30"/>
        <v>966</v>
      </c>
      <c r="G191" s="79">
        <f t="shared" si="31"/>
        <v>4.41</v>
      </c>
      <c r="H191" s="79">
        <f t="shared" si="26"/>
        <v>3.6750000000000003</v>
      </c>
      <c r="I191" s="79">
        <f t="shared" si="32"/>
        <v>0</v>
      </c>
      <c r="J191" s="79" t="str">
        <f t="shared" si="33"/>
        <v>还完了</v>
      </c>
      <c r="K191" s="79" t="str">
        <f t="shared" si="34"/>
        <v>还完了</v>
      </c>
      <c r="L191" s="79" t="str">
        <f>IF(C191&lt;=0,"还完了",SUM(E$5:E190)+K191)</f>
        <v>还完了</v>
      </c>
      <c r="M191" s="79" t="str">
        <f t="shared" si="35"/>
        <v>还完了</v>
      </c>
    </row>
    <row r="192" spans="1:13" ht="12">
      <c r="A192" s="134"/>
      <c r="B192" s="78">
        <v>188</v>
      </c>
      <c r="C192" s="79">
        <f t="shared" si="28"/>
        <v>0</v>
      </c>
      <c r="D192" s="79">
        <f t="shared" si="29"/>
        <v>1800</v>
      </c>
      <c r="E192" s="80" t="str">
        <f t="shared" si="27"/>
        <v>还完了</v>
      </c>
      <c r="F192" s="79">
        <f t="shared" si="30"/>
        <v>966</v>
      </c>
      <c r="G192" s="79">
        <f t="shared" si="31"/>
        <v>4.41</v>
      </c>
      <c r="H192" s="79">
        <f t="shared" si="26"/>
        <v>3.6750000000000003</v>
      </c>
      <c r="I192" s="79">
        <f t="shared" si="32"/>
        <v>0</v>
      </c>
      <c r="J192" s="79" t="str">
        <f t="shared" si="33"/>
        <v>还完了</v>
      </c>
      <c r="K192" s="79" t="str">
        <f t="shared" si="34"/>
        <v>还完了</v>
      </c>
      <c r="L192" s="79" t="str">
        <f>IF(C192&lt;=0,"还完了",SUM(E$5:E191)+K192)</f>
        <v>还完了</v>
      </c>
      <c r="M192" s="79" t="str">
        <f t="shared" si="35"/>
        <v>还完了</v>
      </c>
    </row>
    <row r="193" spans="1:13" ht="12">
      <c r="A193" s="134"/>
      <c r="B193" s="78">
        <v>189</v>
      </c>
      <c r="C193" s="79">
        <f t="shared" si="28"/>
        <v>0</v>
      </c>
      <c r="D193" s="79">
        <f t="shared" si="29"/>
        <v>1800</v>
      </c>
      <c r="E193" s="80" t="str">
        <f t="shared" si="27"/>
        <v>还完了</v>
      </c>
      <c r="F193" s="79">
        <f t="shared" si="30"/>
        <v>966</v>
      </c>
      <c r="G193" s="79">
        <f t="shared" si="31"/>
        <v>4.41</v>
      </c>
      <c r="H193" s="79">
        <f t="shared" si="26"/>
        <v>3.6750000000000003</v>
      </c>
      <c r="I193" s="79">
        <f t="shared" si="32"/>
        <v>0</v>
      </c>
      <c r="J193" s="79" t="str">
        <f t="shared" si="33"/>
        <v>还完了</v>
      </c>
      <c r="K193" s="79" t="str">
        <f t="shared" si="34"/>
        <v>还完了</v>
      </c>
      <c r="L193" s="79" t="str">
        <f>IF(C193&lt;=0,"还完了",SUM(E$5:E192)+K193)</f>
        <v>还完了</v>
      </c>
      <c r="M193" s="79" t="str">
        <f t="shared" si="35"/>
        <v>还完了</v>
      </c>
    </row>
    <row r="194" spans="1:13" ht="12">
      <c r="A194" s="134"/>
      <c r="B194" s="78">
        <v>190</v>
      </c>
      <c r="C194" s="79">
        <f t="shared" si="28"/>
        <v>0</v>
      </c>
      <c r="D194" s="79">
        <f t="shared" si="29"/>
        <v>1800</v>
      </c>
      <c r="E194" s="80" t="str">
        <f t="shared" si="27"/>
        <v>还完了</v>
      </c>
      <c r="F194" s="79">
        <f t="shared" si="30"/>
        <v>966</v>
      </c>
      <c r="G194" s="79">
        <f t="shared" si="31"/>
        <v>4.41</v>
      </c>
      <c r="H194" s="79">
        <f t="shared" si="26"/>
        <v>3.6750000000000003</v>
      </c>
      <c r="I194" s="79">
        <f t="shared" si="32"/>
        <v>0</v>
      </c>
      <c r="J194" s="79" t="str">
        <f t="shared" si="33"/>
        <v>还完了</v>
      </c>
      <c r="K194" s="79" t="str">
        <f t="shared" si="34"/>
        <v>还完了</v>
      </c>
      <c r="L194" s="79" t="str">
        <f>IF(C194&lt;=0,"还完了",SUM(E$5:E193)+K194)</f>
        <v>还完了</v>
      </c>
      <c r="M194" s="79" t="str">
        <f t="shared" si="35"/>
        <v>还完了</v>
      </c>
    </row>
    <row r="195" spans="1:13" ht="12">
      <c r="A195" s="134"/>
      <c r="B195" s="78">
        <v>191</v>
      </c>
      <c r="C195" s="79">
        <f t="shared" si="28"/>
        <v>0</v>
      </c>
      <c r="D195" s="79">
        <f t="shared" si="29"/>
        <v>1800</v>
      </c>
      <c r="E195" s="80" t="str">
        <f t="shared" si="27"/>
        <v>还完了</v>
      </c>
      <c r="F195" s="79">
        <f t="shared" si="30"/>
        <v>966</v>
      </c>
      <c r="G195" s="79">
        <f t="shared" si="31"/>
        <v>4.41</v>
      </c>
      <c r="H195" s="79">
        <f t="shared" si="26"/>
        <v>3.6750000000000003</v>
      </c>
      <c r="I195" s="79">
        <f t="shared" si="32"/>
        <v>0</v>
      </c>
      <c r="J195" s="79" t="str">
        <f t="shared" si="33"/>
        <v>还完了</v>
      </c>
      <c r="K195" s="79" t="str">
        <f t="shared" si="34"/>
        <v>还完了</v>
      </c>
      <c r="L195" s="79" t="str">
        <f>IF(C195&lt;=0,"还完了",SUM(E$5:E194)+K195)</f>
        <v>还完了</v>
      </c>
      <c r="M195" s="79" t="str">
        <f t="shared" si="35"/>
        <v>还完了</v>
      </c>
    </row>
    <row r="196" spans="1:13" ht="12">
      <c r="A196" s="110"/>
      <c r="B196" s="78">
        <v>192</v>
      </c>
      <c r="C196" s="79">
        <f t="shared" si="28"/>
        <v>0</v>
      </c>
      <c r="D196" s="79">
        <f t="shared" si="29"/>
        <v>1800</v>
      </c>
      <c r="E196" s="80" t="str">
        <f t="shared" si="27"/>
        <v>还完了</v>
      </c>
      <c r="F196" s="79">
        <f t="shared" si="30"/>
        <v>966</v>
      </c>
      <c r="G196" s="79">
        <f t="shared" si="31"/>
        <v>4.41</v>
      </c>
      <c r="H196" s="79">
        <f t="shared" si="26"/>
        <v>3.6750000000000003</v>
      </c>
      <c r="I196" s="79">
        <f t="shared" si="32"/>
        <v>0</v>
      </c>
      <c r="J196" s="79" t="str">
        <f t="shared" si="33"/>
        <v>还完了</v>
      </c>
      <c r="K196" s="79" t="str">
        <f t="shared" si="34"/>
        <v>还完了</v>
      </c>
      <c r="L196" s="79" t="str">
        <f>IF(C196&lt;=0,"还完了",SUM(E$5:E195)+K196)</f>
        <v>还完了</v>
      </c>
      <c r="M196" s="79" t="str">
        <f t="shared" si="35"/>
        <v>还完了</v>
      </c>
    </row>
    <row r="197" spans="1:13" ht="12">
      <c r="A197" s="133">
        <v>17</v>
      </c>
      <c r="B197" s="78">
        <v>193</v>
      </c>
      <c r="C197" s="79">
        <f t="shared" si="28"/>
        <v>0</v>
      </c>
      <c r="D197" s="79">
        <f t="shared" si="29"/>
        <v>1800</v>
      </c>
      <c r="E197" s="80" t="str">
        <f t="shared" si="27"/>
        <v>还完了</v>
      </c>
      <c r="F197" s="79">
        <f t="shared" si="30"/>
        <v>966</v>
      </c>
      <c r="G197" s="79">
        <f t="shared" si="31"/>
        <v>4.41</v>
      </c>
      <c r="H197" s="79">
        <f t="shared" si="26"/>
        <v>3.6750000000000003</v>
      </c>
      <c r="I197" s="79">
        <f t="shared" si="32"/>
        <v>0</v>
      </c>
      <c r="J197" s="79" t="str">
        <f t="shared" si="33"/>
        <v>还完了</v>
      </c>
      <c r="K197" s="79" t="str">
        <f t="shared" si="34"/>
        <v>还完了</v>
      </c>
      <c r="L197" s="79" t="str">
        <f>IF(C197&lt;=0,"还完了",SUM(E$5:E196)+K197)</f>
        <v>还完了</v>
      </c>
      <c r="M197" s="79" t="str">
        <f t="shared" si="35"/>
        <v>还完了</v>
      </c>
    </row>
    <row r="198" spans="1:13" ht="12">
      <c r="A198" s="134"/>
      <c r="B198" s="78">
        <v>194</v>
      </c>
      <c r="C198" s="79">
        <f t="shared" si="28"/>
        <v>0</v>
      </c>
      <c r="D198" s="79">
        <f t="shared" si="29"/>
        <v>1800</v>
      </c>
      <c r="E198" s="80" t="str">
        <f t="shared" si="27"/>
        <v>还完了</v>
      </c>
      <c r="F198" s="79">
        <f t="shared" si="30"/>
        <v>966</v>
      </c>
      <c r="G198" s="79">
        <f t="shared" si="31"/>
        <v>4.41</v>
      </c>
      <c r="H198" s="79">
        <f aca="true" t="shared" si="36" ref="H198:H256">G198/1.2</f>
        <v>3.6750000000000003</v>
      </c>
      <c r="I198" s="79">
        <f t="shared" si="32"/>
        <v>0</v>
      </c>
      <c r="J198" s="79" t="str">
        <f t="shared" si="33"/>
        <v>还完了</v>
      </c>
      <c r="K198" s="79" t="str">
        <f t="shared" si="34"/>
        <v>还完了</v>
      </c>
      <c r="L198" s="79" t="str">
        <f>IF(C198&lt;=0,"还完了",SUM(E$5:E197)+K198)</f>
        <v>还完了</v>
      </c>
      <c r="M198" s="79" t="str">
        <f t="shared" si="35"/>
        <v>还完了</v>
      </c>
    </row>
    <row r="199" spans="1:13" ht="12">
      <c r="A199" s="134"/>
      <c r="B199" s="78">
        <v>195</v>
      </c>
      <c r="C199" s="79">
        <f t="shared" si="28"/>
        <v>0</v>
      </c>
      <c r="D199" s="79">
        <f t="shared" si="29"/>
        <v>1800</v>
      </c>
      <c r="E199" s="80" t="str">
        <f t="shared" si="27"/>
        <v>还完了</v>
      </c>
      <c r="F199" s="79">
        <f t="shared" si="30"/>
        <v>966</v>
      </c>
      <c r="G199" s="79">
        <f t="shared" si="31"/>
        <v>4.41</v>
      </c>
      <c r="H199" s="79">
        <f t="shared" si="36"/>
        <v>3.6750000000000003</v>
      </c>
      <c r="I199" s="79">
        <f t="shared" si="32"/>
        <v>0</v>
      </c>
      <c r="J199" s="79" t="str">
        <f t="shared" si="33"/>
        <v>还完了</v>
      </c>
      <c r="K199" s="79" t="str">
        <f t="shared" si="34"/>
        <v>还完了</v>
      </c>
      <c r="L199" s="79" t="str">
        <f>IF(C199&lt;=0,"还完了",SUM(E$5:E198)+K199)</f>
        <v>还完了</v>
      </c>
      <c r="M199" s="79" t="str">
        <f t="shared" si="35"/>
        <v>还完了</v>
      </c>
    </row>
    <row r="200" spans="1:13" ht="12">
      <c r="A200" s="134"/>
      <c r="B200" s="78">
        <v>196</v>
      </c>
      <c r="C200" s="79">
        <f t="shared" si="28"/>
        <v>0</v>
      </c>
      <c r="D200" s="79">
        <f t="shared" si="29"/>
        <v>1800</v>
      </c>
      <c r="E200" s="80" t="str">
        <f t="shared" si="27"/>
        <v>还完了</v>
      </c>
      <c r="F200" s="79">
        <f t="shared" si="30"/>
        <v>966</v>
      </c>
      <c r="G200" s="79">
        <f t="shared" si="31"/>
        <v>4.41</v>
      </c>
      <c r="H200" s="79">
        <f t="shared" si="36"/>
        <v>3.6750000000000003</v>
      </c>
      <c r="I200" s="79">
        <f t="shared" si="32"/>
        <v>0</v>
      </c>
      <c r="J200" s="79" t="str">
        <f t="shared" si="33"/>
        <v>还完了</v>
      </c>
      <c r="K200" s="79" t="str">
        <f t="shared" si="34"/>
        <v>还完了</v>
      </c>
      <c r="L200" s="79" t="str">
        <f>IF(C200&lt;=0,"还完了",SUM(E$5:E199)+K200)</f>
        <v>还完了</v>
      </c>
      <c r="M200" s="79" t="str">
        <f t="shared" si="35"/>
        <v>还完了</v>
      </c>
    </row>
    <row r="201" spans="1:13" ht="12">
      <c r="A201" s="134"/>
      <c r="B201" s="78">
        <v>197</v>
      </c>
      <c r="C201" s="79">
        <f t="shared" si="28"/>
        <v>0</v>
      </c>
      <c r="D201" s="79">
        <f t="shared" si="29"/>
        <v>1800</v>
      </c>
      <c r="E201" s="80" t="str">
        <f t="shared" si="27"/>
        <v>还完了</v>
      </c>
      <c r="F201" s="79">
        <f t="shared" si="30"/>
        <v>966</v>
      </c>
      <c r="G201" s="79">
        <f t="shared" si="31"/>
        <v>4.41</v>
      </c>
      <c r="H201" s="79">
        <f t="shared" si="36"/>
        <v>3.6750000000000003</v>
      </c>
      <c r="I201" s="79">
        <f t="shared" si="32"/>
        <v>0</v>
      </c>
      <c r="J201" s="79" t="str">
        <f t="shared" si="33"/>
        <v>还完了</v>
      </c>
      <c r="K201" s="79" t="str">
        <f t="shared" si="34"/>
        <v>还完了</v>
      </c>
      <c r="L201" s="79" t="str">
        <f>IF(C201&lt;=0,"还完了",SUM(E$5:E200)+K201)</f>
        <v>还完了</v>
      </c>
      <c r="M201" s="79" t="str">
        <f t="shared" si="35"/>
        <v>还完了</v>
      </c>
    </row>
    <row r="202" spans="1:13" ht="12">
      <c r="A202" s="134"/>
      <c r="B202" s="78">
        <v>198</v>
      </c>
      <c r="C202" s="79">
        <f t="shared" si="28"/>
        <v>0</v>
      </c>
      <c r="D202" s="79">
        <f t="shared" si="29"/>
        <v>1800</v>
      </c>
      <c r="E202" s="80" t="str">
        <f aca="true" t="shared" si="37" ref="E202:E249">IF(C202&lt;=0,"还完了",D202)</f>
        <v>还完了</v>
      </c>
      <c r="F202" s="79">
        <f t="shared" si="30"/>
        <v>966</v>
      </c>
      <c r="G202" s="79">
        <f t="shared" si="31"/>
        <v>4.41</v>
      </c>
      <c r="H202" s="79">
        <f t="shared" si="36"/>
        <v>3.6750000000000003</v>
      </c>
      <c r="I202" s="79">
        <f t="shared" si="32"/>
        <v>0</v>
      </c>
      <c r="J202" s="79" t="str">
        <f t="shared" si="33"/>
        <v>还完了</v>
      </c>
      <c r="K202" s="79" t="str">
        <f t="shared" si="34"/>
        <v>还完了</v>
      </c>
      <c r="L202" s="79" t="str">
        <f>IF(C202&lt;=0,"还完了",SUM(E$5:E201)+K202)</f>
        <v>还完了</v>
      </c>
      <c r="M202" s="79" t="str">
        <f t="shared" si="35"/>
        <v>还完了</v>
      </c>
    </row>
    <row r="203" spans="1:13" ht="12">
      <c r="A203" s="134"/>
      <c r="B203" s="78">
        <v>199</v>
      </c>
      <c r="C203" s="79">
        <f t="shared" si="28"/>
        <v>0</v>
      </c>
      <c r="D203" s="79">
        <f t="shared" si="29"/>
        <v>1800</v>
      </c>
      <c r="E203" s="80" t="str">
        <f t="shared" si="37"/>
        <v>还完了</v>
      </c>
      <c r="F203" s="79">
        <f t="shared" si="30"/>
        <v>966</v>
      </c>
      <c r="G203" s="79">
        <f t="shared" si="31"/>
        <v>4.41</v>
      </c>
      <c r="H203" s="79">
        <f t="shared" si="36"/>
        <v>3.6750000000000003</v>
      </c>
      <c r="I203" s="79">
        <f t="shared" si="32"/>
        <v>0</v>
      </c>
      <c r="J203" s="79" t="str">
        <f t="shared" si="33"/>
        <v>还完了</v>
      </c>
      <c r="K203" s="79" t="str">
        <f t="shared" si="34"/>
        <v>还完了</v>
      </c>
      <c r="L203" s="79" t="str">
        <f>IF(C203&lt;=0,"还完了",SUM(E$5:E202)+K203)</f>
        <v>还完了</v>
      </c>
      <c r="M203" s="79" t="str">
        <f t="shared" si="35"/>
        <v>还完了</v>
      </c>
    </row>
    <row r="204" spans="1:13" ht="12">
      <c r="A204" s="134"/>
      <c r="B204" s="78">
        <v>200</v>
      </c>
      <c r="C204" s="79">
        <f t="shared" si="28"/>
        <v>0</v>
      </c>
      <c r="D204" s="79">
        <f t="shared" si="29"/>
        <v>1800</v>
      </c>
      <c r="E204" s="80" t="str">
        <f t="shared" si="37"/>
        <v>还完了</v>
      </c>
      <c r="F204" s="79">
        <f t="shared" si="30"/>
        <v>966</v>
      </c>
      <c r="G204" s="79">
        <f t="shared" si="31"/>
        <v>4.41</v>
      </c>
      <c r="H204" s="79">
        <f t="shared" si="36"/>
        <v>3.6750000000000003</v>
      </c>
      <c r="I204" s="79">
        <f t="shared" si="32"/>
        <v>0</v>
      </c>
      <c r="J204" s="79" t="str">
        <f>IF(C204&lt;=0,"还完了",E204-I204)</f>
        <v>还完了</v>
      </c>
      <c r="K204" s="79" t="str">
        <f>IF(C204&lt;=0,"还完了",E204+C205)</f>
        <v>还完了</v>
      </c>
      <c r="L204" s="79" t="str">
        <f>IF(C204&lt;=0,"还完了",SUM(E$5:E203)+K204)</f>
        <v>还完了</v>
      </c>
      <c r="M204" s="79" t="str">
        <f>IF(C204&lt;=0,"还完了",L204-C$5)</f>
        <v>还完了</v>
      </c>
    </row>
    <row r="205" spans="1:13" ht="12">
      <c r="A205" s="134"/>
      <c r="B205" s="78">
        <v>201</v>
      </c>
      <c r="C205" s="79">
        <f aca="true" t="shared" si="38" ref="C205:C256">IF(C204&gt;0,C204-J204,0)</f>
        <v>0</v>
      </c>
      <c r="D205" s="79">
        <f aca="true" t="shared" si="39" ref="D205:D256">D204</f>
        <v>1800</v>
      </c>
      <c r="E205" s="80" t="str">
        <f t="shared" si="37"/>
        <v>还完了</v>
      </c>
      <c r="F205" s="79">
        <f aca="true" t="shared" si="40" ref="F205:F256">F204</f>
        <v>966</v>
      </c>
      <c r="G205" s="79">
        <f aca="true" t="shared" si="41" ref="G205:G256">G204</f>
        <v>4.41</v>
      </c>
      <c r="H205" s="79">
        <f t="shared" si="36"/>
        <v>3.6750000000000003</v>
      </c>
      <c r="I205" s="79">
        <f aca="true" t="shared" si="42" ref="I205:I256">C205*H205/1000</f>
        <v>0</v>
      </c>
      <c r="J205" s="79" t="str">
        <f aca="true" t="shared" si="43" ref="J205:J220">IF(C205&lt;=0,"还完了",E205-I205)</f>
        <v>还完了</v>
      </c>
      <c r="K205" s="79" t="str">
        <f aca="true" t="shared" si="44" ref="K205:K220">IF(C205&lt;=0,"还完了",E205+C206)</f>
        <v>还完了</v>
      </c>
      <c r="L205" s="79" t="str">
        <f>IF(C205&lt;=0,"还完了",SUM(E$5:E204)+K205)</f>
        <v>还完了</v>
      </c>
      <c r="M205" s="79" t="str">
        <f aca="true" t="shared" si="45" ref="M205:M220">IF(C205&lt;=0,"还完了",L205-C$5)</f>
        <v>还完了</v>
      </c>
    </row>
    <row r="206" spans="1:13" ht="12">
      <c r="A206" s="134"/>
      <c r="B206" s="78">
        <v>202</v>
      </c>
      <c r="C206" s="79">
        <f t="shared" si="38"/>
        <v>0</v>
      </c>
      <c r="D206" s="79">
        <f t="shared" si="39"/>
        <v>1800</v>
      </c>
      <c r="E206" s="80" t="str">
        <f t="shared" si="37"/>
        <v>还完了</v>
      </c>
      <c r="F206" s="79">
        <f t="shared" si="40"/>
        <v>966</v>
      </c>
      <c r="G206" s="79">
        <f t="shared" si="41"/>
        <v>4.41</v>
      </c>
      <c r="H206" s="79">
        <f t="shared" si="36"/>
        <v>3.6750000000000003</v>
      </c>
      <c r="I206" s="79">
        <f t="shared" si="42"/>
        <v>0</v>
      </c>
      <c r="J206" s="79" t="str">
        <f t="shared" si="43"/>
        <v>还完了</v>
      </c>
      <c r="K206" s="79" t="str">
        <f t="shared" si="44"/>
        <v>还完了</v>
      </c>
      <c r="L206" s="79" t="str">
        <f>IF(C206&lt;=0,"还完了",SUM(E$5:E205)+K206)</f>
        <v>还完了</v>
      </c>
      <c r="M206" s="79" t="str">
        <f t="shared" si="45"/>
        <v>还完了</v>
      </c>
    </row>
    <row r="207" spans="1:13" ht="12">
      <c r="A207" s="134"/>
      <c r="B207" s="78">
        <v>203</v>
      </c>
      <c r="C207" s="79">
        <f t="shared" si="38"/>
        <v>0</v>
      </c>
      <c r="D207" s="79">
        <f t="shared" si="39"/>
        <v>1800</v>
      </c>
      <c r="E207" s="80" t="str">
        <f t="shared" si="37"/>
        <v>还完了</v>
      </c>
      <c r="F207" s="79">
        <f t="shared" si="40"/>
        <v>966</v>
      </c>
      <c r="G207" s="79">
        <f t="shared" si="41"/>
        <v>4.41</v>
      </c>
      <c r="H207" s="79">
        <f t="shared" si="36"/>
        <v>3.6750000000000003</v>
      </c>
      <c r="I207" s="79">
        <f t="shared" si="42"/>
        <v>0</v>
      </c>
      <c r="J207" s="79" t="str">
        <f t="shared" si="43"/>
        <v>还完了</v>
      </c>
      <c r="K207" s="79" t="str">
        <f t="shared" si="44"/>
        <v>还完了</v>
      </c>
      <c r="L207" s="79" t="str">
        <f>IF(C207&lt;=0,"还完了",SUM(E$5:E206)+K207)</f>
        <v>还完了</v>
      </c>
      <c r="M207" s="79" t="str">
        <f t="shared" si="45"/>
        <v>还完了</v>
      </c>
    </row>
    <row r="208" spans="1:13" ht="12">
      <c r="A208" s="110"/>
      <c r="B208" s="78">
        <v>204</v>
      </c>
      <c r="C208" s="79">
        <f t="shared" si="38"/>
        <v>0</v>
      </c>
      <c r="D208" s="79">
        <f t="shared" si="39"/>
        <v>1800</v>
      </c>
      <c r="E208" s="80" t="str">
        <f t="shared" si="37"/>
        <v>还完了</v>
      </c>
      <c r="F208" s="79">
        <f t="shared" si="40"/>
        <v>966</v>
      </c>
      <c r="G208" s="79">
        <f t="shared" si="41"/>
        <v>4.41</v>
      </c>
      <c r="H208" s="79">
        <f t="shared" si="36"/>
        <v>3.6750000000000003</v>
      </c>
      <c r="I208" s="79">
        <f t="shared" si="42"/>
        <v>0</v>
      </c>
      <c r="J208" s="79" t="str">
        <f t="shared" si="43"/>
        <v>还完了</v>
      </c>
      <c r="K208" s="79" t="str">
        <f t="shared" si="44"/>
        <v>还完了</v>
      </c>
      <c r="L208" s="79" t="str">
        <f>IF(C208&lt;=0,"还完了",SUM(E$5:E207)+K208)</f>
        <v>还完了</v>
      </c>
      <c r="M208" s="79" t="str">
        <f t="shared" si="45"/>
        <v>还完了</v>
      </c>
    </row>
    <row r="209" spans="1:13" ht="12">
      <c r="A209" s="133">
        <v>18</v>
      </c>
      <c r="B209" s="78">
        <v>205</v>
      </c>
      <c r="C209" s="79">
        <f t="shared" si="38"/>
        <v>0</v>
      </c>
      <c r="D209" s="79">
        <f t="shared" si="39"/>
        <v>1800</v>
      </c>
      <c r="E209" s="80" t="str">
        <f t="shared" si="37"/>
        <v>还完了</v>
      </c>
      <c r="F209" s="79">
        <f t="shared" si="40"/>
        <v>966</v>
      </c>
      <c r="G209" s="79">
        <f t="shared" si="41"/>
        <v>4.41</v>
      </c>
      <c r="H209" s="79">
        <f t="shared" si="36"/>
        <v>3.6750000000000003</v>
      </c>
      <c r="I209" s="79">
        <f t="shared" si="42"/>
        <v>0</v>
      </c>
      <c r="J209" s="79" t="str">
        <f t="shared" si="43"/>
        <v>还完了</v>
      </c>
      <c r="K209" s="79" t="str">
        <f t="shared" si="44"/>
        <v>还完了</v>
      </c>
      <c r="L209" s="79" t="str">
        <f>IF(C209&lt;=0,"还完了",SUM(E$5:E208)+K209)</f>
        <v>还完了</v>
      </c>
      <c r="M209" s="79" t="str">
        <f t="shared" si="45"/>
        <v>还完了</v>
      </c>
    </row>
    <row r="210" spans="1:13" ht="12">
      <c r="A210" s="134"/>
      <c r="B210" s="78">
        <v>206</v>
      </c>
      <c r="C210" s="79">
        <f t="shared" si="38"/>
        <v>0</v>
      </c>
      <c r="D210" s="79">
        <f t="shared" si="39"/>
        <v>1800</v>
      </c>
      <c r="E210" s="80" t="str">
        <f t="shared" si="37"/>
        <v>还完了</v>
      </c>
      <c r="F210" s="79">
        <f t="shared" si="40"/>
        <v>966</v>
      </c>
      <c r="G210" s="79">
        <f t="shared" si="41"/>
        <v>4.41</v>
      </c>
      <c r="H210" s="79">
        <f t="shared" si="36"/>
        <v>3.6750000000000003</v>
      </c>
      <c r="I210" s="79">
        <f t="shared" si="42"/>
        <v>0</v>
      </c>
      <c r="J210" s="79" t="str">
        <f t="shared" si="43"/>
        <v>还完了</v>
      </c>
      <c r="K210" s="79" t="str">
        <f t="shared" si="44"/>
        <v>还完了</v>
      </c>
      <c r="L210" s="79" t="str">
        <f>IF(C210&lt;=0,"还完了",SUM(E$5:E209)+K210)</f>
        <v>还完了</v>
      </c>
      <c r="M210" s="79" t="str">
        <f t="shared" si="45"/>
        <v>还完了</v>
      </c>
    </row>
    <row r="211" spans="1:13" ht="12">
      <c r="A211" s="134"/>
      <c r="B211" s="78">
        <v>207</v>
      </c>
      <c r="C211" s="79">
        <f t="shared" si="38"/>
        <v>0</v>
      </c>
      <c r="D211" s="79">
        <f t="shared" si="39"/>
        <v>1800</v>
      </c>
      <c r="E211" s="80" t="str">
        <f t="shared" si="37"/>
        <v>还完了</v>
      </c>
      <c r="F211" s="79">
        <f t="shared" si="40"/>
        <v>966</v>
      </c>
      <c r="G211" s="79">
        <f t="shared" si="41"/>
        <v>4.41</v>
      </c>
      <c r="H211" s="79">
        <f t="shared" si="36"/>
        <v>3.6750000000000003</v>
      </c>
      <c r="I211" s="79">
        <f t="shared" si="42"/>
        <v>0</v>
      </c>
      <c r="J211" s="79" t="str">
        <f t="shared" si="43"/>
        <v>还完了</v>
      </c>
      <c r="K211" s="79" t="str">
        <f t="shared" si="44"/>
        <v>还完了</v>
      </c>
      <c r="L211" s="79" t="str">
        <f>IF(C211&lt;=0,"还完了",SUM(E$5:E210)+K211)</f>
        <v>还完了</v>
      </c>
      <c r="M211" s="79" t="str">
        <f t="shared" si="45"/>
        <v>还完了</v>
      </c>
    </row>
    <row r="212" spans="1:13" ht="12">
      <c r="A212" s="134"/>
      <c r="B212" s="78">
        <v>208</v>
      </c>
      <c r="C212" s="79">
        <f t="shared" si="38"/>
        <v>0</v>
      </c>
      <c r="D212" s="79">
        <f t="shared" si="39"/>
        <v>1800</v>
      </c>
      <c r="E212" s="80" t="str">
        <f t="shared" si="37"/>
        <v>还完了</v>
      </c>
      <c r="F212" s="79">
        <f t="shared" si="40"/>
        <v>966</v>
      </c>
      <c r="G212" s="79">
        <f t="shared" si="41"/>
        <v>4.41</v>
      </c>
      <c r="H212" s="79">
        <f t="shared" si="36"/>
        <v>3.6750000000000003</v>
      </c>
      <c r="I212" s="79">
        <f t="shared" si="42"/>
        <v>0</v>
      </c>
      <c r="J212" s="79" t="str">
        <f t="shared" si="43"/>
        <v>还完了</v>
      </c>
      <c r="K212" s="79" t="str">
        <f t="shared" si="44"/>
        <v>还完了</v>
      </c>
      <c r="L212" s="79" t="str">
        <f>IF(C212&lt;=0,"还完了",SUM(E$5:E211)+K212)</f>
        <v>还完了</v>
      </c>
      <c r="M212" s="79" t="str">
        <f t="shared" si="45"/>
        <v>还完了</v>
      </c>
    </row>
    <row r="213" spans="1:13" ht="12">
      <c r="A213" s="134"/>
      <c r="B213" s="78">
        <v>209</v>
      </c>
      <c r="C213" s="79">
        <f t="shared" si="38"/>
        <v>0</v>
      </c>
      <c r="D213" s="79">
        <f t="shared" si="39"/>
        <v>1800</v>
      </c>
      <c r="E213" s="80" t="str">
        <f t="shared" si="37"/>
        <v>还完了</v>
      </c>
      <c r="F213" s="79">
        <f t="shared" si="40"/>
        <v>966</v>
      </c>
      <c r="G213" s="79">
        <f t="shared" si="41"/>
        <v>4.41</v>
      </c>
      <c r="H213" s="79">
        <f t="shared" si="36"/>
        <v>3.6750000000000003</v>
      </c>
      <c r="I213" s="79">
        <f t="shared" si="42"/>
        <v>0</v>
      </c>
      <c r="J213" s="79" t="str">
        <f t="shared" si="43"/>
        <v>还完了</v>
      </c>
      <c r="K213" s="79" t="str">
        <f t="shared" si="44"/>
        <v>还完了</v>
      </c>
      <c r="L213" s="79" t="str">
        <f>IF(C213&lt;=0,"还完了",SUM(E$5:E212)+K213)</f>
        <v>还完了</v>
      </c>
      <c r="M213" s="79" t="str">
        <f t="shared" si="45"/>
        <v>还完了</v>
      </c>
    </row>
    <row r="214" spans="1:13" ht="12">
      <c r="A214" s="134"/>
      <c r="B214" s="78">
        <v>210</v>
      </c>
      <c r="C214" s="79">
        <f t="shared" si="38"/>
        <v>0</v>
      </c>
      <c r="D214" s="79">
        <f t="shared" si="39"/>
        <v>1800</v>
      </c>
      <c r="E214" s="80" t="str">
        <f t="shared" si="37"/>
        <v>还完了</v>
      </c>
      <c r="F214" s="79">
        <f t="shared" si="40"/>
        <v>966</v>
      </c>
      <c r="G214" s="79">
        <f t="shared" si="41"/>
        <v>4.41</v>
      </c>
      <c r="H214" s="79">
        <f t="shared" si="36"/>
        <v>3.6750000000000003</v>
      </c>
      <c r="I214" s="79">
        <f t="shared" si="42"/>
        <v>0</v>
      </c>
      <c r="J214" s="79" t="str">
        <f t="shared" si="43"/>
        <v>还完了</v>
      </c>
      <c r="K214" s="79" t="str">
        <f t="shared" si="44"/>
        <v>还完了</v>
      </c>
      <c r="L214" s="79" t="str">
        <f>IF(C214&lt;=0,"还完了",SUM(E$5:E213)+K214)</f>
        <v>还完了</v>
      </c>
      <c r="M214" s="79" t="str">
        <f t="shared" si="45"/>
        <v>还完了</v>
      </c>
    </row>
    <row r="215" spans="1:13" ht="12">
      <c r="A215" s="134"/>
      <c r="B215" s="78">
        <v>211</v>
      </c>
      <c r="C215" s="79">
        <f t="shared" si="38"/>
        <v>0</v>
      </c>
      <c r="D215" s="79">
        <f t="shared" si="39"/>
        <v>1800</v>
      </c>
      <c r="E215" s="80" t="str">
        <f t="shared" si="37"/>
        <v>还完了</v>
      </c>
      <c r="F215" s="79">
        <f t="shared" si="40"/>
        <v>966</v>
      </c>
      <c r="G215" s="79">
        <f t="shared" si="41"/>
        <v>4.41</v>
      </c>
      <c r="H215" s="79">
        <f t="shared" si="36"/>
        <v>3.6750000000000003</v>
      </c>
      <c r="I215" s="79">
        <f t="shared" si="42"/>
        <v>0</v>
      </c>
      <c r="J215" s="79" t="str">
        <f t="shared" si="43"/>
        <v>还完了</v>
      </c>
      <c r="K215" s="79" t="str">
        <f t="shared" si="44"/>
        <v>还完了</v>
      </c>
      <c r="L215" s="79" t="str">
        <f>IF(C215&lt;=0,"还完了",SUM(E$5:E214)+K215)</f>
        <v>还完了</v>
      </c>
      <c r="M215" s="79" t="str">
        <f t="shared" si="45"/>
        <v>还完了</v>
      </c>
    </row>
    <row r="216" spans="1:13" ht="12">
      <c r="A216" s="134"/>
      <c r="B216" s="78">
        <v>212</v>
      </c>
      <c r="C216" s="79">
        <f t="shared" si="38"/>
        <v>0</v>
      </c>
      <c r="D216" s="79">
        <f t="shared" si="39"/>
        <v>1800</v>
      </c>
      <c r="E216" s="80" t="str">
        <f t="shared" si="37"/>
        <v>还完了</v>
      </c>
      <c r="F216" s="79">
        <f t="shared" si="40"/>
        <v>966</v>
      </c>
      <c r="G216" s="79">
        <f t="shared" si="41"/>
        <v>4.41</v>
      </c>
      <c r="H216" s="79">
        <f t="shared" si="36"/>
        <v>3.6750000000000003</v>
      </c>
      <c r="I216" s="79">
        <f t="shared" si="42"/>
        <v>0</v>
      </c>
      <c r="J216" s="79" t="str">
        <f t="shared" si="43"/>
        <v>还完了</v>
      </c>
      <c r="K216" s="79" t="str">
        <f t="shared" si="44"/>
        <v>还完了</v>
      </c>
      <c r="L216" s="79" t="str">
        <f>IF(C216&lt;=0,"还完了",SUM(E$5:E215)+K216)</f>
        <v>还完了</v>
      </c>
      <c r="M216" s="79" t="str">
        <f t="shared" si="45"/>
        <v>还完了</v>
      </c>
    </row>
    <row r="217" spans="1:13" ht="12">
      <c r="A217" s="134"/>
      <c r="B217" s="78">
        <v>213</v>
      </c>
      <c r="C217" s="79">
        <f t="shared" si="38"/>
        <v>0</v>
      </c>
      <c r="D217" s="79">
        <f t="shared" si="39"/>
        <v>1800</v>
      </c>
      <c r="E217" s="80" t="str">
        <f t="shared" si="37"/>
        <v>还完了</v>
      </c>
      <c r="F217" s="79">
        <f t="shared" si="40"/>
        <v>966</v>
      </c>
      <c r="G217" s="79">
        <f t="shared" si="41"/>
        <v>4.41</v>
      </c>
      <c r="H217" s="79">
        <f t="shared" si="36"/>
        <v>3.6750000000000003</v>
      </c>
      <c r="I217" s="79">
        <f t="shared" si="42"/>
        <v>0</v>
      </c>
      <c r="J217" s="79" t="str">
        <f t="shared" si="43"/>
        <v>还完了</v>
      </c>
      <c r="K217" s="79" t="str">
        <f t="shared" si="44"/>
        <v>还完了</v>
      </c>
      <c r="L217" s="79" t="str">
        <f>IF(C217&lt;=0,"还完了",SUM(E$5:E216)+K217)</f>
        <v>还完了</v>
      </c>
      <c r="M217" s="79" t="str">
        <f t="shared" si="45"/>
        <v>还完了</v>
      </c>
    </row>
    <row r="218" spans="1:13" ht="12">
      <c r="A218" s="134"/>
      <c r="B218" s="78">
        <v>214</v>
      </c>
      <c r="C218" s="79">
        <f t="shared" si="38"/>
        <v>0</v>
      </c>
      <c r="D218" s="79">
        <f t="shared" si="39"/>
        <v>1800</v>
      </c>
      <c r="E218" s="80" t="str">
        <f t="shared" si="37"/>
        <v>还完了</v>
      </c>
      <c r="F218" s="79">
        <f t="shared" si="40"/>
        <v>966</v>
      </c>
      <c r="G218" s="79">
        <f t="shared" si="41"/>
        <v>4.41</v>
      </c>
      <c r="H218" s="79">
        <f t="shared" si="36"/>
        <v>3.6750000000000003</v>
      </c>
      <c r="I218" s="79">
        <f t="shared" si="42"/>
        <v>0</v>
      </c>
      <c r="J218" s="79" t="str">
        <f t="shared" si="43"/>
        <v>还完了</v>
      </c>
      <c r="K218" s="79" t="str">
        <f t="shared" si="44"/>
        <v>还完了</v>
      </c>
      <c r="L218" s="79" t="str">
        <f>IF(C218&lt;=0,"还完了",SUM(E$5:E217)+K218)</f>
        <v>还完了</v>
      </c>
      <c r="M218" s="79" t="str">
        <f t="shared" si="45"/>
        <v>还完了</v>
      </c>
    </row>
    <row r="219" spans="1:13" ht="12">
      <c r="A219" s="134"/>
      <c r="B219" s="78">
        <v>215</v>
      </c>
      <c r="C219" s="79">
        <f t="shared" si="38"/>
        <v>0</v>
      </c>
      <c r="D219" s="79">
        <f t="shared" si="39"/>
        <v>1800</v>
      </c>
      <c r="E219" s="80" t="str">
        <f t="shared" si="37"/>
        <v>还完了</v>
      </c>
      <c r="F219" s="79">
        <f t="shared" si="40"/>
        <v>966</v>
      </c>
      <c r="G219" s="79">
        <f t="shared" si="41"/>
        <v>4.41</v>
      </c>
      <c r="H219" s="79">
        <f t="shared" si="36"/>
        <v>3.6750000000000003</v>
      </c>
      <c r="I219" s="79">
        <f t="shared" si="42"/>
        <v>0</v>
      </c>
      <c r="J219" s="79" t="str">
        <f t="shared" si="43"/>
        <v>还完了</v>
      </c>
      <c r="K219" s="79" t="str">
        <f t="shared" si="44"/>
        <v>还完了</v>
      </c>
      <c r="L219" s="79" t="str">
        <f>IF(C219&lt;=0,"还完了",SUM(E$5:E218)+K219)</f>
        <v>还完了</v>
      </c>
      <c r="M219" s="79" t="str">
        <f t="shared" si="45"/>
        <v>还完了</v>
      </c>
    </row>
    <row r="220" spans="1:13" ht="12">
      <c r="A220" s="110"/>
      <c r="B220" s="78">
        <v>216</v>
      </c>
      <c r="C220" s="79">
        <f t="shared" si="38"/>
        <v>0</v>
      </c>
      <c r="D220" s="79">
        <f t="shared" si="39"/>
        <v>1800</v>
      </c>
      <c r="E220" s="80" t="str">
        <f t="shared" si="37"/>
        <v>还完了</v>
      </c>
      <c r="F220" s="79">
        <f t="shared" si="40"/>
        <v>966</v>
      </c>
      <c r="G220" s="79">
        <f t="shared" si="41"/>
        <v>4.41</v>
      </c>
      <c r="H220" s="79">
        <f t="shared" si="36"/>
        <v>3.6750000000000003</v>
      </c>
      <c r="I220" s="79">
        <f t="shared" si="42"/>
        <v>0</v>
      </c>
      <c r="J220" s="79" t="str">
        <f t="shared" si="43"/>
        <v>还完了</v>
      </c>
      <c r="K220" s="79" t="str">
        <f t="shared" si="44"/>
        <v>还完了</v>
      </c>
      <c r="L220" s="79" t="str">
        <f>IF(C220&lt;=0,"还完了",SUM(E$5:E219)+K220)</f>
        <v>还完了</v>
      </c>
      <c r="M220" s="79" t="str">
        <f t="shared" si="45"/>
        <v>还完了</v>
      </c>
    </row>
    <row r="221" spans="1:13" ht="12">
      <c r="A221" s="133">
        <v>19</v>
      </c>
      <c r="B221" s="78">
        <v>217</v>
      </c>
      <c r="C221" s="79">
        <f t="shared" si="38"/>
        <v>0</v>
      </c>
      <c r="D221" s="79">
        <f t="shared" si="39"/>
        <v>1800</v>
      </c>
      <c r="E221" s="80" t="str">
        <f t="shared" si="37"/>
        <v>还完了</v>
      </c>
      <c r="F221" s="79">
        <f t="shared" si="40"/>
        <v>966</v>
      </c>
      <c r="G221" s="79">
        <f t="shared" si="41"/>
        <v>4.41</v>
      </c>
      <c r="H221" s="79">
        <f t="shared" si="36"/>
        <v>3.6750000000000003</v>
      </c>
      <c r="I221" s="79">
        <f t="shared" si="42"/>
        <v>0</v>
      </c>
      <c r="J221" s="79" t="str">
        <f>IF(C221&lt;=0,"还完了",E221-I221)</f>
        <v>还完了</v>
      </c>
      <c r="K221" s="79" t="str">
        <f>IF(C221&lt;=0,"还完了",E221+C222)</f>
        <v>还完了</v>
      </c>
      <c r="L221" s="79" t="str">
        <f>IF(C221&lt;=0,"还完了",SUM(E$5:E220)+K221)</f>
        <v>还完了</v>
      </c>
      <c r="M221" s="79" t="str">
        <f>IF(C221&lt;=0,"还完了",L221-C$5)</f>
        <v>还完了</v>
      </c>
    </row>
    <row r="222" spans="1:13" ht="12">
      <c r="A222" s="134"/>
      <c r="B222" s="78">
        <v>218</v>
      </c>
      <c r="C222" s="79">
        <f t="shared" si="38"/>
        <v>0</v>
      </c>
      <c r="D222" s="79">
        <f t="shared" si="39"/>
        <v>1800</v>
      </c>
      <c r="E222" s="80" t="str">
        <f t="shared" si="37"/>
        <v>还完了</v>
      </c>
      <c r="F222" s="79">
        <f t="shared" si="40"/>
        <v>966</v>
      </c>
      <c r="G222" s="79">
        <f t="shared" si="41"/>
        <v>4.41</v>
      </c>
      <c r="H222" s="79">
        <f t="shared" si="36"/>
        <v>3.6750000000000003</v>
      </c>
      <c r="I222" s="79">
        <f t="shared" si="42"/>
        <v>0</v>
      </c>
      <c r="J222" s="79" t="str">
        <f aca="true" t="shared" si="46" ref="J222:J240">IF(C222&lt;=0,"还完了",E222-I222)</f>
        <v>还完了</v>
      </c>
      <c r="K222" s="79" t="str">
        <f aca="true" t="shared" si="47" ref="K222:K240">IF(C222&lt;=0,"还完了",E222+C223)</f>
        <v>还完了</v>
      </c>
      <c r="L222" s="79" t="str">
        <f>IF(C222&lt;=0,"还完了",SUM(E$5:E221)+K222)</f>
        <v>还完了</v>
      </c>
      <c r="M222" s="79" t="str">
        <f aca="true" t="shared" si="48" ref="M222:M240">IF(C222&lt;=0,"还完了",L222-C$5)</f>
        <v>还完了</v>
      </c>
    </row>
    <row r="223" spans="1:13" ht="12">
      <c r="A223" s="134"/>
      <c r="B223" s="78">
        <v>219</v>
      </c>
      <c r="C223" s="79">
        <f t="shared" si="38"/>
        <v>0</v>
      </c>
      <c r="D223" s="79">
        <f t="shared" si="39"/>
        <v>1800</v>
      </c>
      <c r="E223" s="80" t="str">
        <f t="shared" si="37"/>
        <v>还完了</v>
      </c>
      <c r="F223" s="79">
        <f t="shared" si="40"/>
        <v>966</v>
      </c>
      <c r="G223" s="79">
        <f t="shared" si="41"/>
        <v>4.41</v>
      </c>
      <c r="H223" s="79">
        <f t="shared" si="36"/>
        <v>3.6750000000000003</v>
      </c>
      <c r="I223" s="79">
        <f t="shared" si="42"/>
        <v>0</v>
      </c>
      <c r="J223" s="79" t="str">
        <f t="shared" si="46"/>
        <v>还完了</v>
      </c>
      <c r="K223" s="79" t="str">
        <f t="shared" si="47"/>
        <v>还完了</v>
      </c>
      <c r="L223" s="79" t="str">
        <f>IF(C223&lt;=0,"还完了",SUM(E$5:E222)+K223)</f>
        <v>还完了</v>
      </c>
      <c r="M223" s="79" t="str">
        <f t="shared" si="48"/>
        <v>还完了</v>
      </c>
    </row>
    <row r="224" spans="1:13" ht="12">
      <c r="A224" s="134"/>
      <c r="B224" s="78">
        <v>220</v>
      </c>
      <c r="C224" s="79">
        <f t="shared" si="38"/>
        <v>0</v>
      </c>
      <c r="D224" s="79">
        <f t="shared" si="39"/>
        <v>1800</v>
      </c>
      <c r="E224" s="80" t="str">
        <f t="shared" si="37"/>
        <v>还完了</v>
      </c>
      <c r="F224" s="79">
        <f t="shared" si="40"/>
        <v>966</v>
      </c>
      <c r="G224" s="79">
        <f t="shared" si="41"/>
        <v>4.41</v>
      </c>
      <c r="H224" s="79">
        <f t="shared" si="36"/>
        <v>3.6750000000000003</v>
      </c>
      <c r="I224" s="79">
        <f t="shared" si="42"/>
        <v>0</v>
      </c>
      <c r="J224" s="79" t="str">
        <f t="shared" si="46"/>
        <v>还完了</v>
      </c>
      <c r="K224" s="79" t="str">
        <f t="shared" si="47"/>
        <v>还完了</v>
      </c>
      <c r="L224" s="79" t="str">
        <f>IF(C224&lt;=0,"还完了",SUM(E$5:E223)+K224)</f>
        <v>还完了</v>
      </c>
      <c r="M224" s="79" t="str">
        <f t="shared" si="48"/>
        <v>还完了</v>
      </c>
    </row>
    <row r="225" spans="1:13" ht="12">
      <c r="A225" s="134"/>
      <c r="B225" s="78">
        <v>221</v>
      </c>
      <c r="C225" s="79">
        <f t="shared" si="38"/>
        <v>0</v>
      </c>
      <c r="D225" s="79">
        <f t="shared" si="39"/>
        <v>1800</v>
      </c>
      <c r="E225" s="80" t="str">
        <f t="shared" si="37"/>
        <v>还完了</v>
      </c>
      <c r="F225" s="79">
        <f t="shared" si="40"/>
        <v>966</v>
      </c>
      <c r="G225" s="79">
        <f t="shared" si="41"/>
        <v>4.41</v>
      </c>
      <c r="H225" s="79">
        <f t="shared" si="36"/>
        <v>3.6750000000000003</v>
      </c>
      <c r="I225" s="79">
        <f t="shared" si="42"/>
        <v>0</v>
      </c>
      <c r="J225" s="79" t="str">
        <f t="shared" si="46"/>
        <v>还完了</v>
      </c>
      <c r="K225" s="79" t="str">
        <f t="shared" si="47"/>
        <v>还完了</v>
      </c>
      <c r="L225" s="79" t="str">
        <f>IF(C225&lt;=0,"还完了",SUM(E$5:E224)+K225)</f>
        <v>还完了</v>
      </c>
      <c r="M225" s="79" t="str">
        <f t="shared" si="48"/>
        <v>还完了</v>
      </c>
    </row>
    <row r="226" spans="1:13" ht="12">
      <c r="A226" s="134"/>
      <c r="B226" s="78">
        <v>222</v>
      </c>
      <c r="C226" s="79">
        <f t="shared" si="38"/>
        <v>0</v>
      </c>
      <c r="D226" s="79">
        <f t="shared" si="39"/>
        <v>1800</v>
      </c>
      <c r="E226" s="80" t="str">
        <f t="shared" si="37"/>
        <v>还完了</v>
      </c>
      <c r="F226" s="79">
        <f t="shared" si="40"/>
        <v>966</v>
      </c>
      <c r="G226" s="79">
        <f t="shared" si="41"/>
        <v>4.41</v>
      </c>
      <c r="H226" s="79">
        <f t="shared" si="36"/>
        <v>3.6750000000000003</v>
      </c>
      <c r="I226" s="79">
        <f t="shared" si="42"/>
        <v>0</v>
      </c>
      <c r="J226" s="79" t="str">
        <f t="shared" si="46"/>
        <v>还完了</v>
      </c>
      <c r="K226" s="79" t="str">
        <f t="shared" si="47"/>
        <v>还完了</v>
      </c>
      <c r="L226" s="79" t="str">
        <f>IF(C226&lt;=0,"还完了",SUM(E$5:E225)+K226)</f>
        <v>还完了</v>
      </c>
      <c r="M226" s="79" t="str">
        <f t="shared" si="48"/>
        <v>还完了</v>
      </c>
    </row>
    <row r="227" spans="1:13" ht="12">
      <c r="A227" s="134"/>
      <c r="B227" s="78">
        <v>223</v>
      </c>
      <c r="C227" s="79">
        <f t="shared" si="38"/>
        <v>0</v>
      </c>
      <c r="D227" s="79">
        <f t="shared" si="39"/>
        <v>1800</v>
      </c>
      <c r="E227" s="80" t="str">
        <f t="shared" si="37"/>
        <v>还完了</v>
      </c>
      <c r="F227" s="79">
        <f t="shared" si="40"/>
        <v>966</v>
      </c>
      <c r="G227" s="79">
        <f t="shared" si="41"/>
        <v>4.41</v>
      </c>
      <c r="H227" s="79">
        <f t="shared" si="36"/>
        <v>3.6750000000000003</v>
      </c>
      <c r="I227" s="79">
        <f t="shared" si="42"/>
        <v>0</v>
      </c>
      <c r="J227" s="79" t="str">
        <f t="shared" si="46"/>
        <v>还完了</v>
      </c>
      <c r="K227" s="79" t="str">
        <f t="shared" si="47"/>
        <v>还完了</v>
      </c>
      <c r="L227" s="79" t="str">
        <f>IF(C227&lt;=0,"还完了",SUM(E$5:E226)+K227)</f>
        <v>还完了</v>
      </c>
      <c r="M227" s="79" t="str">
        <f t="shared" si="48"/>
        <v>还完了</v>
      </c>
    </row>
    <row r="228" spans="1:13" ht="12">
      <c r="A228" s="134"/>
      <c r="B228" s="78">
        <v>224</v>
      </c>
      <c r="C228" s="79">
        <f t="shared" si="38"/>
        <v>0</v>
      </c>
      <c r="D228" s="79">
        <f t="shared" si="39"/>
        <v>1800</v>
      </c>
      <c r="E228" s="80" t="str">
        <f t="shared" si="37"/>
        <v>还完了</v>
      </c>
      <c r="F228" s="79">
        <f t="shared" si="40"/>
        <v>966</v>
      </c>
      <c r="G228" s="79">
        <f t="shared" si="41"/>
        <v>4.41</v>
      </c>
      <c r="H228" s="79">
        <f t="shared" si="36"/>
        <v>3.6750000000000003</v>
      </c>
      <c r="I228" s="79">
        <f t="shared" si="42"/>
        <v>0</v>
      </c>
      <c r="J228" s="79" t="str">
        <f t="shared" si="46"/>
        <v>还完了</v>
      </c>
      <c r="K228" s="79" t="str">
        <f t="shared" si="47"/>
        <v>还完了</v>
      </c>
      <c r="L228" s="79" t="str">
        <f>IF(C228&lt;=0,"还完了",SUM(E$5:E227)+K228)</f>
        <v>还完了</v>
      </c>
      <c r="M228" s="79" t="str">
        <f t="shared" si="48"/>
        <v>还完了</v>
      </c>
    </row>
    <row r="229" spans="1:13" ht="12">
      <c r="A229" s="134"/>
      <c r="B229" s="78">
        <v>225</v>
      </c>
      <c r="C229" s="79">
        <f t="shared" si="38"/>
        <v>0</v>
      </c>
      <c r="D229" s="79">
        <f t="shared" si="39"/>
        <v>1800</v>
      </c>
      <c r="E229" s="80" t="str">
        <f t="shared" si="37"/>
        <v>还完了</v>
      </c>
      <c r="F229" s="79">
        <f t="shared" si="40"/>
        <v>966</v>
      </c>
      <c r="G229" s="79">
        <f t="shared" si="41"/>
        <v>4.41</v>
      </c>
      <c r="H229" s="79">
        <f t="shared" si="36"/>
        <v>3.6750000000000003</v>
      </c>
      <c r="I229" s="79">
        <f t="shared" si="42"/>
        <v>0</v>
      </c>
      <c r="J229" s="79" t="str">
        <f t="shared" si="46"/>
        <v>还完了</v>
      </c>
      <c r="K229" s="79" t="str">
        <f t="shared" si="47"/>
        <v>还完了</v>
      </c>
      <c r="L229" s="79" t="str">
        <f>IF(C229&lt;=0,"还完了",SUM(E$5:E228)+K229)</f>
        <v>还完了</v>
      </c>
      <c r="M229" s="79" t="str">
        <f t="shared" si="48"/>
        <v>还完了</v>
      </c>
    </row>
    <row r="230" spans="1:13" ht="12">
      <c r="A230" s="134"/>
      <c r="B230" s="78">
        <v>226</v>
      </c>
      <c r="C230" s="79">
        <f t="shared" si="38"/>
        <v>0</v>
      </c>
      <c r="D230" s="79">
        <f t="shared" si="39"/>
        <v>1800</v>
      </c>
      <c r="E230" s="80" t="str">
        <f t="shared" si="37"/>
        <v>还完了</v>
      </c>
      <c r="F230" s="79">
        <f t="shared" si="40"/>
        <v>966</v>
      </c>
      <c r="G230" s="79">
        <f t="shared" si="41"/>
        <v>4.41</v>
      </c>
      <c r="H230" s="79">
        <f t="shared" si="36"/>
        <v>3.6750000000000003</v>
      </c>
      <c r="I230" s="79">
        <f t="shared" si="42"/>
        <v>0</v>
      </c>
      <c r="J230" s="79" t="str">
        <f t="shared" si="46"/>
        <v>还完了</v>
      </c>
      <c r="K230" s="79" t="str">
        <f t="shared" si="47"/>
        <v>还完了</v>
      </c>
      <c r="L230" s="79" t="str">
        <f>IF(C230&lt;=0,"还完了",SUM(E$5:E229)+K230)</f>
        <v>还完了</v>
      </c>
      <c r="M230" s="79" t="str">
        <f t="shared" si="48"/>
        <v>还完了</v>
      </c>
    </row>
    <row r="231" spans="1:13" ht="12">
      <c r="A231" s="134"/>
      <c r="B231" s="78">
        <v>227</v>
      </c>
      <c r="C231" s="79">
        <f t="shared" si="38"/>
        <v>0</v>
      </c>
      <c r="D231" s="79">
        <f t="shared" si="39"/>
        <v>1800</v>
      </c>
      <c r="E231" s="80" t="str">
        <f t="shared" si="37"/>
        <v>还完了</v>
      </c>
      <c r="F231" s="79">
        <f t="shared" si="40"/>
        <v>966</v>
      </c>
      <c r="G231" s="79">
        <f t="shared" si="41"/>
        <v>4.41</v>
      </c>
      <c r="H231" s="79">
        <f t="shared" si="36"/>
        <v>3.6750000000000003</v>
      </c>
      <c r="I231" s="79">
        <f t="shared" si="42"/>
        <v>0</v>
      </c>
      <c r="J231" s="79" t="str">
        <f t="shared" si="46"/>
        <v>还完了</v>
      </c>
      <c r="K231" s="79" t="str">
        <f t="shared" si="47"/>
        <v>还完了</v>
      </c>
      <c r="L231" s="79" t="str">
        <f>IF(C231&lt;=0,"还完了",SUM(E$5:E230)+K231)</f>
        <v>还完了</v>
      </c>
      <c r="M231" s="79" t="str">
        <f t="shared" si="48"/>
        <v>还完了</v>
      </c>
    </row>
    <row r="232" spans="1:13" ht="12">
      <c r="A232" s="110"/>
      <c r="B232" s="78">
        <v>228</v>
      </c>
      <c r="C232" s="79">
        <f t="shared" si="38"/>
        <v>0</v>
      </c>
      <c r="D232" s="79">
        <f t="shared" si="39"/>
        <v>1800</v>
      </c>
      <c r="E232" s="80" t="str">
        <f t="shared" si="37"/>
        <v>还完了</v>
      </c>
      <c r="F232" s="79">
        <f t="shared" si="40"/>
        <v>966</v>
      </c>
      <c r="G232" s="79">
        <f t="shared" si="41"/>
        <v>4.41</v>
      </c>
      <c r="H232" s="79">
        <f t="shared" si="36"/>
        <v>3.6750000000000003</v>
      </c>
      <c r="I232" s="79">
        <f t="shared" si="42"/>
        <v>0</v>
      </c>
      <c r="J232" s="79" t="str">
        <f t="shared" si="46"/>
        <v>还完了</v>
      </c>
      <c r="K232" s="79" t="str">
        <f t="shared" si="47"/>
        <v>还完了</v>
      </c>
      <c r="L232" s="79" t="str">
        <f>IF(C232&lt;=0,"还完了",SUM(E$5:E231)+K232)</f>
        <v>还完了</v>
      </c>
      <c r="M232" s="79" t="str">
        <f t="shared" si="48"/>
        <v>还完了</v>
      </c>
    </row>
    <row r="233" spans="1:13" ht="12">
      <c r="A233" s="133">
        <v>20</v>
      </c>
      <c r="B233" s="78">
        <v>229</v>
      </c>
      <c r="C233" s="79">
        <f t="shared" si="38"/>
        <v>0</v>
      </c>
      <c r="D233" s="79">
        <f t="shared" si="39"/>
        <v>1800</v>
      </c>
      <c r="E233" s="80" t="str">
        <f t="shared" si="37"/>
        <v>还完了</v>
      </c>
      <c r="F233" s="79">
        <f t="shared" si="40"/>
        <v>966</v>
      </c>
      <c r="G233" s="79">
        <f t="shared" si="41"/>
        <v>4.41</v>
      </c>
      <c r="H233" s="79">
        <f t="shared" si="36"/>
        <v>3.6750000000000003</v>
      </c>
      <c r="I233" s="79">
        <f t="shared" si="42"/>
        <v>0</v>
      </c>
      <c r="J233" s="79" t="str">
        <f t="shared" si="46"/>
        <v>还完了</v>
      </c>
      <c r="K233" s="79" t="str">
        <f t="shared" si="47"/>
        <v>还完了</v>
      </c>
      <c r="L233" s="79" t="str">
        <f>IF(C233&lt;=0,"还完了",SUM(E$5:E232)+K233)</f>
        <v>还完了</v>
      </c>
      <c r="M233" s="79" t="str">
        <f t="shared" si="48"/>
        <v>还完了</v>
      </c>
    </row>
    <row r="234" spans="1:13" ht="12">
      <c r="A234" s="134"/>
      <c r="B234" s="78">
        <v>230</v>
      </c>
      <c r="C234" s="79">
        <f t="shared" si="38"/>
        <v>0</v>
      </c>
      <c r="D234" s="79">
        <f t="shared" si="39"/>
        <v>1800</v>
      </c>
      <c r="E234" s="80" t="str">
        <f t="shared" si="37"/>
        <v>还完了</v>
      </c>
      <c r="F234" s="79">
        <f t="shared" si="40"/>
        <v>966</v>
      </c>
      <c r="G234" s="79">
        <f t="shared" si="41"/>
        <v>4.41</v>
      </c>
      <c r="H234" s="79">
        <f t="shared" si="36"/>
        <v>3.6750000000000003</v>
      </c>
      <c r="I234" s="79">
        <f t="shared" si="42"/>
        <v>0</v>
      </c>
      <c r="J234" s="79" t="str">
        <f t="shared" si="46"/>
        <v>还完了</v>
      </c>
      <c r="K234" s="79" t="str">
        <f t="shared" si="47"/>
        <v>还完了</v>
      </c>
      <c r="L234" s="79" t="str">
        <f>IF(C234&lt;=0,"还完了",SUM(E$5:E233)+K234)</f>
        <v>还完了</v>
      </c>
      <c r="M234" s="79" t="str">
        <f t="shared" si="48"/>
        <v>还完了</v>
      </c>
    </row>
    <row r="235" spans="1:13" ht="12">
      <c r="A235" s="134"/>
      <c r="B235" s="78">
        <v>231</v>
      </c>
      <c r="C235" s="79">
        <f t="shared" si="38"/>
        <v>0</v>
      </c>
      <c r="D235" s="79">
        <f t="shared" si="39"/>
        <v>1800</v>
      </c>
      <c r="E235" s="80" t="str">
        <f t="shared" si="37"/>
        <v>还完了</v>
      </c>
      <c r="F235" s="79">
        <f t="shared" si="40"/>
        <v>966</v>
      </c>
      <c r="G235" s="79">
        <f t="shared" si="41"/>
        <v>4.41</v>
      </c>
      <c r="H235" s="79">
        <f t="shared" si="36"/>
        <v>3.6750000000000003</v>
      </c>
      <c r="I235" s="79">
        <f t="shared" si="42"/>
        <v>0</v>
      </c>
      <c r="J235" s="79" t="str">
        <f t="shared" si="46"/>
        <v>还完了</v>
      </c>
      <c r="K235" s="79" t="str">
        <f t="shared" si="47"/>
        <v>还完了</v>
      </c>
      <c r="L235" s="79" t="str">
        <f>IF(C235&lt;=0,"还完了",SUM(E$5:E234)+K235)</f>
        <v>还完了</v>
      </c>
      <c r="M235" s="79" t="str">
        <f t="shared" si="48"/>
        <v>还完了</v>
      </c>
    </row>
    <row r="236" spans="1:13" ht="12">
      <c r="A236" s="134"/>
      <c r="B236" s="78">
        <v>232</v>
      </c>
      <c r="C236" s="79">
        <f t="shared" si="38"/>
        <v>0</v>
      </c>
      <c r="D236" s="79">
        <f t="shared" si="39"/>
        <v>1800</v>
      </c>
      <c r="E236" s="80" t="str">
        <f t="shared" si="37"/>
        <v>还完了</v>
      </c>
      <c r="F236" s="79">
        <f t="shared" si="40"/>
        <v>966</v>
      </c>
      <c r="G236" s="79">
        <f t="shared" si="41"/>
        <v>4.41</v>
      </c>
      <c r="H236" s="79">
        <f t="shared" si="36"/>
        <v>3.6750000000000003</v>
      </c>
      <c r="I236" s="79">
        <f t="shared" si="42"/>
        <v>0</v>
      </c>
      <c r="J236" s="79" t="str">
        <f t="shared" si="46"/>
        <v>还完了</v>
      </c>
      <c r="K236" s="79" t="str">
        <f t="shared" si="47"/>
        <v>还完了</v>
      </c>
      <c r="L236" s="79" t="str">
        <f>IF(C236&lt;=0,"还完了",SUM(E$5:E235)+K236)</f>
        <v>还完了</v>
      </c>
      <c r="M236" s="79" t="str">
        <f t="shared" si="48"/>
        <v>还完了</v>
      </c>
    </row>
    <row r="237" spans="1:13" ht="12">
      <c r="A237" s="134"/>
      <c r="B237" s="78">
        <v>233</v>
      </c>
      <c r="C237" s="79">
        <f t="shared" si="38"/>
        <v>0</v>
      </c>
      <c r="D237" s="79">
        <f t="shared" si="39"/>
        <v>1800</v>
      </c>
      <c r="E237" s="80" t="str">
        <f t="shared" si="37"/>
        <v>还完了</v>
      </c>
      <c r="F237" s="79">
        <f t="shared" si="40"/>
        <v>966</v>
      </c>
      <c r="G237" s="79">
        <f t="shared" si="41"/>
        <v>4.41</v>
      </c>
      <c r="H237" s="79">
        <f t="shared" si="36"/>
        <v>3.6750000000000003</v>
      </c>
      <c r="I237" s="79">
        <f t="shared" si="42"/>
        <v>0</v>
      </c>
      <c r="J237" s="79" t="str">
        <f t="shared" si="46"/>
        <v>还完了</v>
      </c>
      <c r="K237" s="79" t="str">
        <f t="shared" si="47"/>
        <v>还完了</v>
      </c>
      <c r="L237" s="79" t="str">
        <f>IF(C237&lt;=0,"还完了",SUM(E$5:E236)+K237)</f>
        <v>还完了</v>
      </c>
      <c r="M237" s="79" t="str">
        <f t="shared" si="48"/>
        <v>还完了</v>
      </c>
    </row>
    <row r="238" spans="1:13" ht="12">
      <c r="A238" s="134"/>
      <c r="B238" s="78">
        <v>234</v>
      </c>
      <c r="C238" s="79">
        <f t="shared" si="38"/>
        <v>0</v>
      </c>
      <c r="D238" s="79">
        <f t="shared" si="39"/>
        <v>1800</v>
      </c>
      <c r="E238" s="80" t="str">
        <f t="shared" si="37"/>
        <v>还完了</v>
      </c>
      <c r="F238" s="79">
        <f t="shared" si="40"/>
        <v>966</v>
      </c>
      <c r="G238" s="79">
        <f t="shared" si="41"/>
        <v>4.41</v>
      </c>
      <c r="H238" s="79">
        <f t="shared" si="36"/>
        <v>3.6750000000000003</v>
      </c>
      <c r="I238" s="79">
        <f t="shared" si="42"/>
        <v>0</v>
      </c>
      <c r="J238" s="79" t="str">
        <f t="shared" si="46"/>
        <v>还完了</v>
      </c>
      <c r="K238" s="79" t="str">
        <f t="shared" si="47"/>
        <v>还完了</v>
      </c>
      <c r="L238" s="79" t="str">
        <f>IF(C238&lt;=0,"还完了",SUM(E$5:E237)+K238)</f>
        <v>还完了</v>
      </c>
      <c r="M238" s="79" t="str">
        <f t="shared" si="48"/>
        <v>还完了</v>
      </c>
    </row>
    <row r="239" spans="1:13" ht="12">
      <c r="A239" s="134"/>
      <c r="B239" s="78">
        <v>235</v>
      </c>
      <c r="C239" s="79">
        <f t="shared" si="38"/>
        <v>0</v>
      </c>
      <c r="D239" s="79">
        <f t="shared" si="39"/>
        <v>1800</v>
      </c>
      <c r="E239" s="80" t="str">
        <f t="shared" si="37"/>
        <v>还完了</v>
      </c>
      <c r="F239" s="79">
        <f t="shared" si="40"/>
        <v>966</v>
      </c>
      <c r="G239" s="79">
        <f t="shared" si="41"/>
        <v>4.41</v>
      </c>
      <c r="H239" s="79">
        <f t="shared" si="36"/>
        <v>3.6750000000000003</v>
      </c>
      <c r="I239" s="79">
        <f t="shared" si="42"/>
        <v>0</v>
      </c>
      <c r="J239" s="79" t="str">
        <f t="shared" si="46"/>
        <v>还完了</v>
      </c>
      <c r="K239" s="79" t="str">
        <f t="shared" si="47"/>
        <v>还完了</v>
      </c>
      <c r="L239" s="79" t="str">
        <f>IF(C239&lt;=0,"还完了",SUM(E$5:E238)+K239)</f>
        <v>还完了</v>
      </c>
      <c r="M239" s="79" t="str">
        <f t="shared" si="48"/>
        <v>还完了</v>
      </c>
    </row>
    <row r="240" spans="1:13" ht="12">
      <c r="A240" s="134"/>
      <c r="B240" s="78">
        <v>236</v>
      </c>
      <c r="C240" s="79">
        <f t="shared" si="38"/>
        <v>0</v>
      </c>
      <c r="D240" s="79">
        <f t="shared" si="39"/>
        <v>1800</v>
      </c>
      <c r="E240" s="80" t="str">
        <f t="shared" si="37"/>
        <v>还完了</v>
      </c>
      <c r="F240" s="79">
        <f t="shared" si="40"/>
        <v>966</v>
      </c>
      <c r="G240" s="79">
        <f t="shared" si="41"/>
        <v>4.41</v>
      </c>
      <c r="H240" s="79">
        <f t="shared" si="36"/>
        <v>3.6750000000000003</v>
      </c>
      <c r="I240" s="79">
        <f t="shared" si="42"/>
        <v>0</v>
      </c>
      <c r="J240" s="79" t="str">
        <f t="shared" si="46"/>
        <v>还完了</v>
      </c>
      <c r="K240" s="79" t="str">
        <f t="shared" si="47"/>
        <v>还完了</v>
      </c>
      <c r="L240" s="79" t="str">
        <f>IF(C240&lt;=0,"还完了",SUM(E$5:E239)+K240)</f>
        <v>还完了</v>
      </c>
      <c r="M240" s="79" t="str">
        <f t="shared" si="48"/>
        <v>还完了</v>
      </c>
    </row>
    <row r="241" spans="1:13" ht="12">
      <c r="A241" s="134"/>
      <c r="B241" s="78">
        <v>237</v>
      </c>
      <c r="C241" s="79">
        <f t="shared" si="38"/>
        <v>0</v>
      </c>
      <c r="D241" s="79">
        <f t="shared" si="39"/>
        <v>1800</v>
      </c>
      <c r="E241" s="80" t="str">
        <f t="shared" si="37"/>
        <v>还完了</v>
      </c>
      <c r="F241" s="79">
        <f t="shared" si="40"/>
        <v>966</v>
      </c>
      <c r="G241" s="79">
        <f t="shared" si="41"/>
        <v>4.41</v>
      </c>
      <c r="H241" s="79">
        <f t="shared" si="36"/>
        <v>3.6750000000000003</v>
      </c>
      <c r="I241" s="79">
        <f t="shared" si="42"/>
        <v>0</v>
      </c>
      <c r="J241" s="79" t="str">
        <f>IF(C241&lt;=0,"还完了",E241-I241)</f>
        <v>还完了</v>
      </c>
      <c r="K241" s="79" t="str">
        <f>IF(C241&lt;=0,"还完了",E241+C242)</f>
        <v>还完了</v>
      </c>
      <c r="L241" s="79" t="str">
        <f>IF(C241&lt;=0,"还完了",SUM(E$5:E240)+K241)</f>
        <v>还完了</v>
      </c>
      <c r="M241" s="79" t="str">
        <f>IF(C241&lt;=0,"还完了",L241-C$5)</f>
        <v>还完了</v>
      </c>
    </row>
    <row r="242" spans="1:13" ht="12">
      <c r="A242" s="134"/>
      <c r="B242" s="78">
        <v>238</v>
      </c>
      <c r="C242" s="79">
        <f t="shared" si="38"/>
        <v>0</v>
      </c>
      <c r="D242" s="79">
        <f t="shared" si="39"/>
        <v>1800</v>
      </c>
      <c r="E242" s="80" t="str">
        <f t="shared" si="37"/>
        <v>还完了</v>
      </c>
      <c r="F242" s="79">
        <f t="shared" si="40"/>
        <v>966</v>
      </c>
      <c r="G242" s="79">
        <f t="shared" si="41"/>
        <v>4.41</v>
      </c>
      <c r="H242" s="79">
        <f t="shared" si="36"/>
        <v>3.6750000000000003</v>
      </c>
      <c r="I242" s="79">
        <f t="shared" si="42"/>
        <v>0</v>
      </c>
      <c r="J242" s="79" t="str">
        <f aca="true" t="shared" si="49" ref="J242:J256">IF(C242&lt;=0,"还完了",E242-I242)</f>
        <v>还完了</v>
      </c>
      <c r="K242" s="79" t="str">
        <f aca="true" t="shared" si="50" ref="K242:K256">IF(C242&lt;=0,"还完了",E242+C243)</f>
        <v>还完了</v>
      </c>
      <c r="L242" s="79" t="str">
        <f>IF(C242&lt;=0,"还完了",SUM(E$5:E241)+K242)</f>
        <v>还完了</v>
      </c>
      <c r="M242" s="79" t="str">
        <f aca="true" t="shared" si="51" ref="M242:M256">IF(C242&lt;=0,"还完了",L242-C$5)</f>
        <v>还完了</v>
      </c>
    </row>
    <row r="243" spans="1:13" ht="12">
      <c r="A243" s="134"/>
      <c r="B243" s="78">
        <v>239</v>
      </c>
      <c r="C243" s="79">
        <f t="shared" si="38"/>
        <v>0</v>
      </c>
      <c r="D243" s="79">
        <f t="shared" si="39"/>
        <v>1800</v>
      </c>
      <c r="E243" s="80" t="str">
        <f t="shared" si="37"/>
        <v>还完了</v>
      </c>
      <c r="F243" s="79">
        <f t="shared" si="40"/>
        <v>966</v>
      </c>
      <c r="G243" s="79">
        <f t="shared" si="41"/>
        <v>4.41</v>
      </c>
      <c r="H243" s="79">
        <f t="shared" si="36"/>
        <v>3.6750000000000003</v>
      </c>
      <c r="I243" s="79">
        <f t="shared" si="42"/>
        <v>0</v>
      </c>
      <c r="J243" s="79" t="str">
        <f t="shared" si="49"/>
        <v>还完了</v>
      </c>
      <c r="K243" s="79" t="str">
        <f t="shared" si="50"/>
        <v>还完了</v>
      </c>
      <c r="L243" s="79" t="str">
        <f>IF(C243&lt;=0,"还完了",SUM(E$5:E242)+K243)</f>
        <v>还完了</v>
      </c>
      <c r="M243" s="79" t="str">
        <f t="shared" si="51"/>
        <v>还完了</v>
      </c>
    </row>
    <row r="244" spans="1:13" ht="12">
      <c r="A244" s="110"/>
      <c r="B244" s="78">
        <v>240</v>
      </c>
      <c r="C244" s="79">
        <f t="shared" si="38"/>
        <v>0</v>
      </c>
      <c r="D244" s="79">
        <f t="shared" si="39"/>
        <v>1800</v>
      </c>
      <c r="E244" s="80" t="str">
        <f t="shared" si="37"/>
        <v>还完了</v>
      </c>
      <c r="F244" s="79">
        <f t="shared" si="40"/>
        <v>966</v>
      </c>
      <c r="G244" s="79">
        <f t="shared" si="41"/>
        <v>4.41</v>
      </c>
      <c r="H244" s="79">
        <f t="shared" si="36"/>
        <v>3.6750000000000003</v>
      </c>
      <c r="I244" s="79">
        <f t="shared" si="42"/>
        <v>0</v>
      </c>
      <c r="J244" s="79" t="str">
        <f t="shared" si="49"/>
        <v>还完了</v>
      </c>
      <c r="K244" s="79" t="str">
        <f t="shared" si="50"/>
        <v>还完了</v>
      </c>
      <c r="L244" s="79" t="str">
        <f>IF(C244&lt;=0,"还完了",SUM(E$5:E243)+K244)</f>
        <v>还完了</v>
      </c>
      <c r="M244" s="79" t="str">
        <f t="shared" si="51"/>
        <v>还完了</v>
      </c>
    </row>
    <row r="245" spans="1:13" ht="12">
      <c r="A245" s="133">
        <v>21</v>
      </c>
      <c r="B245" s="78">
        <v>241</v>
      </c>
      <c r="C245" s="79">
        <f t="shared" si="38"/>
        <v>0</v>
      </c>
      <c r="D245" s="79">
        <f t="shared" si="39"/>
        <v>1800</v>
      </c>
      <c r="E245" s="80" t="str">
        <f t="shared" si="37"/>
        <v>还完了</v>
      </c>
      <c r="F245" s="79">
        <f t="shared" si="40"/>
        <v>966</v>
      </c>
      <c r="G245" s="79">
        <f t="shared" si="41"/>
        <v>4.41</v>
      </c>
      <c r="H245" s="79">
        <f t="shared" si="36"/>
        <v>3.6750000000000003</v>
      </c>
      <c r="I245" s="79">
        <f t="shared" si="42"/>
        <v>0</v>
      </c>
      <c r="J245" s="79" t="str">
        <f t="shared" si="49"/>
        <v>还完了</v>
      </c>
      <c r="K245" s="79" t="str">
        <f t="shared" si="50"/>
        <v>还完了</v>
      </c>
      <c r="L245" s="79" t="str">
        <f>IF(C245&lt;=0,"还完了",SUM(E$5:E244)+K245)</f>
        <v>还完了</v>
      </c>
      <c r="M245" s="79" t="str">
        <f t="shared" si="51"/>
        <v>还完了</v>
      </c>
    </row>
    <row r="246" spans="1:13" ht="12">
      <c r="A246" s="134"/>
      <c r="B246" s="78">
        <v>242</v>
      </c>
      <c r="C246" s="79">
        <f t="shared" si="38"/>
        <v>0</v>
      </c>
      <c r="D246" s="79">
        <f t="shared" si="39"/>
        <v>1800</v>
      </c>
      <c r="E246" s="80" t="str">
        <f t="shared" si="37"/>
        <v>还完了</v>
      </c>
      <c r="F246" s="79">
        <f t="shared" si="40"/>
        <v>966</v>
      </c>
      <c r="G246" s="79">
        <f t="shared" si="41"/>
        <v>4.41</v>
      </c>
      <c r="H246" s="79">
        <f t="shared" si="36"/>
        <v>3.6750000000000003</v>
      </c>
      <c r="I246" s="79">
        <f t="shared" si="42"/>
        <v>0</v>
      </c>
      <c r="J246" s="79" t="str">
        <f t="shared" si="49"/>
        <v>还完了</v>
      </c>
      <c r="K246" s="79" t="str">
        <f t="shared" si="50"/>
        <v>还完了</v>
      </c>
      <c r="L246" s="79" t="str">
        <f>IF(C246&lt;=0,"还完了",SUM(E$5:E245)+K246)</f>
        <v>还完了</v>
      </c>
      <c r="M246" s="79" t="str">
        <f t="shared" si="51"/>
        <v>还完了</v>
      </c>
    </row>
    <row r="247" spans="1:13" ht="12">
      <c r="A247" s="134"/>
      <c r="B247" s="78">
        <v>243</v>
      </c>
      <c r="C247" s="79">
        <f t="shared" si="38"/>
        <v>0</v>
      </c>
      <c r="D247" s="79">
        <f t="shared" si="39"/>
        <v>1800</v>
      </c>
      <c r="E247" s="80" t="str">
        <f t="shared" si="37"/>
        <v>还完了</v>
      </c>
      <c r="F247" s="79">
        <f t="shared" si="40"/>
        <v>966</v>
      </c>
      <c r="G247" s="79">
        <f t="shared" si="41"/>
        <v>4.41</v>
      </c>
      <c r="H247" s="79">
        <f t="shared" si="36"/>
        <v>3.6750000000000003</v>
      </c>
      <c r="I247" s="79">
        <f t="shared" si="42"/>
        <v>0</v>
      </c>
      <c r="J247" s="79" t="str">
        <f t="shared" si="49"/>
        <v>还完了</v>
      </c>
      <c r="K247" s="79" t="str">
        <f t="shared" si="50"/>
        <v>还完了</v>
      </c>
      <c r="L247" s="79" t="str">
        <f>IF(C247&lt;=0,"还完了",SUM(E$5:E246)+K247)</f>
        <v>还完了</v>
      </c>
      <c r="M247" s="79" t="str">
        <f t="shared" si="51"/>
        <v>还完了</v>
      </c>
    </row>
    <row r="248" spans="1:13" ht="12">
      <c r="A248" s="134"/>
      <c r="B248" s="78">
        <v>244</v>
      </c>
      <c r="C248" s="79">
        <f t="shared" si="38"/>
        <v>0</v>
      </c>
      <c r="D248" s="79">
        <f t="shared" si="39"/>
        <v>1800</v>
      </c>
      <c r="E248" s="80" t="str">
        <f t="shared" si="37"/>
        <v>还完了</v>
      </c>
      <c r="F248" s="79">
        <f t="shared" si="40"/>
        <v>966</v>
      </c>
      <c r="G248" s="79">
        <f t="shared" si="41"/>
        <v>4.41</v>
      </c>
      <c r="H248" s="79">
        <f t="shared" si="36"/>
        <v>3.6750000000000003</v>
      </c>
      <c r="I248" s="79">
        <f t="shared" si="42"/>
        <v>0</v>
      </c>
      <c r="J248" s="79" t="str">
        <f t="shared" si="49"/>
        <v>还完了</v>
      </c>
      <c r="K248" s="79" t="str">
        <f t="shared" si="50"/>
        <v>还完了</v>
      </c>
      <c r="L248" s="79" t="str">
        <f>IF(C248&lt;=0,"还完了",SUM(E$5:E247)+K248)</f>
        <v>还完了</v>
      </c>
      <c r="M248" s="79" t="str">
        <f t="shared" si="51"/>
        <v>还完了</v>
      </c>
    </row>
    <row r="249" spans="1:13" ht="12">
      <c r="A249" s="134"/>
      <c r="B249" s="78">
        <v>245</v>
      </c>
      <c r="C249" s="79">
        <f t="shared" si="38"/>
        <v>0</v>
      </c>
      <c r="D249" s="79">
        <f t="shared" si="39"/>
        <v>1800</v>
      </c>
      <c r="E249" s="80" t="str">
        <f t="shared" si="37"/>
        <v>还完了</v>
      </c>
      <c r="F249" s="79">
        <f t="shared" si="40"/>
        <v>966</v>
      </c>
      <c r="G249" s="79">
        <f t="shared" si="41"/>
        <v>4.41</v>
      </c>
      <c r="H249" s="79">
        <f t="shared" si="36"/>
        <v>3.6750000000000003</v>
      </c>
      <c r="I249" s="79">
        <f t="shared" si="42"/>
        <v>0</v>
      </c>
      <c r="J249" s="79" t="str">
        <f t="shared" si="49"/>
        <v>还完了</v>
      </c>
      <c r="K249" s="79" t="str">
        <f t="shared" si="50"/>
        <v>还完了</v>
      </c>
      <c r="L249" s="79" t="str">
        <f>IF(C249&lt;=0,"还完了",SUM(E$5:E248)+K249)</f>
        <v>还完了</v>
      </c>
      <c r="M249" s="79" t="str">
        <f t="shared" si="51"/>
        <v>还完了</v>
      </c>
    </row>
    <row r="250" spans="1:13" ht="12">
      <c r="A250" s="134"/>
      <c r="B250" s="78">
        <v>246</v>
      </c>
      <c r="C250" s="79">
        <f t="shared" si="38"/>
        <v>0</v>
      </c>
      <c r="D250" s="79">
        <f t="shared" si="39"/>
        <v>1800</v>
      </c>
      <c r="E250" s="80" t="str">
        <f aca="true" t="shared" si="52" ref="E250:E256">IF(C250&lt;=0,"还完了",D250)</f>
        <v>还完了</v>
      </c>
      <c r="F250" s="79">
        <f t="shared" si="40"/>
        <v>966</v>
      </c>
      <c r="G250" s="79">
        <f t="shared" si="41"/>
        <v>4.41</v>
      </c>
      <c r="H250" s="79">
        <f t="shared" si="36"/>
        <v>3.6750000000000003</v>
      </c>
      <c r="I250" s="79">
        <f t="shared" si="42"/>
        <v>0</v>
      </c>
      <c r="J250" s="79" t="str">
        <f t="shared" si="49"/>
        <v>还完了</v>
      </c>
      <c r="K250" s="79" t="str">
        <f t="shared" si="50"/>
        <v>还完了</v>
      </c>
      <c r="L250" s="79" t="str">
        <f>IF(C250&lt;=0,"还完了",SUM(E$5:E249)+K250)</f>
        <v>还完了</v>
      </c>
      <c r="M250" s="79" t="str">
        <f t="shared" si="51"/>
        <v>还完了</v>
      </c>
    </row>
    <row r="251" spans="1:13" ht="12">
      <c r="A251" s="134"/>
      <c r="B251" s="78">
        <v>247</v>
      </c>
      <c r="C251" s="79">
        <f t="shared" si="38"/>
        <v>0</v>
      </c>
      <c r="D251" s="79">
        <f t="shared" si="39"/>
        <v>1800</v>
      </c>
      <c r="E251" s="80" t="str">
        <f t="shared" si="52"/>
        <v>还完了</v>
      </c>
      <c r="F251" s="79">
        <f t="shared" si="40"/>
        <v>966</v>
      </c>
      <c r="G251" s="79">
        <f t="shared" si="41"/>
        <v>4.41</v>
      </c>
      <c r="H251" s="79">
        <f t="shared" si="36"/>
        <v>3.6750000000000003</v>
      </c>
      <c r="I251" s="79">
        <f t="shared" si="42"/>
        <v>0</v>
      </c>
      <c r="J251" s="79" t="str">
        <f t="shared" si="49"/>
        <v>还完了</v>
      </c>
      <c r="K251" s="79" t="str">
        <f t="shared" si="50"/>
        <v>还完了</v>
      </c>
      <c r="L251" s="79" t="str">
        <f>IF(C251&lt;=0,"还完了",SUM(E$5:E250)+K251)</f>
        <v>还完了</v>
      </c>
      <c r="M251" s="79" t="str">
        <f t="shared" si="51"/>
        <v>还完了</v>
      </c>
    </row>
    <row r="252" spans="1:13" ht="12">
      <c r="A252" s="134"/>
      <c r="B252" s="78">
        <v>248</v>
      </c>
      <c r="C252" s="79">
        <f t="shared" si="38"/>
        <v>0</v>
      </c>
      <c r="D252" s="79">
        <f t="shared" si="39"/>
        <v>1800</v>
      </c>
      <c r="E252" s="80" t="str">
        <f t="shared" si="52"/>
        <v>还完了</v>
      </c>
      <c r="F252" s="79">
        <f t="shared" si="40"/>
        <v>966</v>
      </c>
      <c r="G252" s="79">
        <f t="shared" si="41"/>
        <v>4.41</v>
      </c>
      <c r="H252" s="79">
        <f t="shared" si="36"/>
        <v>3.6750000000000003</v>
      </c>
      <c r="I252" s="79">
        <f t="shared" si="42"/>
        <v>0</v>
      </c>
      <c r="J252" s="79" t="str">
        <f t="shared" si="49"/>
        <v>还完了</v>
      </c>
      <c r="K252" s="79" t="str">
        <f t="shared" si="50"/>
        <v>还完了</v>
      </c>
      <c r="L252" s="79" t="str">
        <f>IF(C252&lt;=0,"还完了",SUM(E$5:E251)+K252)</f>
        <v>还完了</v>
      </c>
      <c r="M252" s="79" t="str">
        <f t="shared" si="51"/>
        <v>还完了</v>
      </c>
    </row>
    <row r="253" spans="1:13" ht="12">
      <c r="A253" s="134"/>
      <c r="B253" s="78">
        <v>249</v>
      </c>
      <c r="C253" s="79">
        <f t="shared" si="38"/>
        <v>0</v>
      </c>
      <c r="D253" s="79">
        <f t="shared" si="39"/>
        <v>1800</v>
      </c>
      <c r="E253" s="80" t="str">
        <f t="shared" si="52"/>
        <v>还完了</v>
      </c>
      <c r="F253" s="79">
        <f t="shared" si="40"/>
        <v>966</v>
      </c>
      <c r="G253" s="79">
        <f t="shared" si="41"/>
        <v>4.41</v>
      </c>
      <c r="H253" s="79">
        <f t="shared" si="36"/>
        <v>3.6750000000000003</v>
      </c>
      <c r="I253" s="79">
        <f t="shared" si="42"/>
        <v>0</v>
      </c>
      <c r="J253" s="79" t="str">
        <f t="shared" si="49"/>
        <v>还完了</v>
      </c>
      <c r="K253" s="79" t="str">
        <f t="shared" si="50"/>
        <v>还完了</v>
      </c>
      <c r="L253" s="79" t="str">
        <f>IF(C253&lt;=0,"还完了",SUM(E$5:E252)+K253)</f>
        <v>还完了</v>
      </c>
      <c r="M253" s="79" t="str">
        <f t="shared" si="51"/>
        <v>还完了</v>
      </c>
    </row>
    <row r="254" spans="1:13" ht="12">
      <c r="A254" s="134"/>
      <c r="B254" s="78">
        <v>250</v>
      </c>
      <c r="C254" s="79">
        <f t="shared" si="38"/>
        <v>0</v>
      </c>
      <c r="D254" s="79">
        <f t="shared" si="39"/>
        <v>1800</v>
      </c>
      <c r="E254" s="80" t="str">
        <f t="shared" si="52"/>
        <v>还完了</v>
      </c>
      <c r="F254" s="79">
        <f t="shared" si="40"/>
        <v>966</v>
      </c>
      <c r="G254" s="79">
        <f t="shared" si="41"/>
        <v>4.41</v>
      </c>
      <c r="H254" s="79">
        <f t="shared" si="36"/>
        <v>3.6750000000000003</v>
      </c>
      <c r="I254" s="79">
        <f t="shared" si="42"/>
        <v>0</v>
      </c>
      <c r="J254" s="79" t="str">
        <f t="shared" si="49"/>
        <v>还完了</v>
      </c>
      <c r="K254" s="79" t="str">
        <f t="shared" si="50"/>
        <v>还完了</v>
      </c>
      <c r="L254" s="79" t="str">
        <f>IF(C254&lt;=0,"还完了",SUM(E$5:E253)+K254)</f>
        <v>还完了</v>
      </c>
      <c r="M254" s="79" t="str">
        <f t="shared" si="51"/>
        <v>还完了</v>
      </c>
    </row>
    <row r="255" spans="1:13" ht="12">
      <c r="A255" s="134"/>
      <c r="B255" s="78">
        <v>251</v>
      </c>
      <c r="C255" s="79">
        <f t="shared" si="38"/>
        <v>0</v>
      </c>
      <c r="D255" s="79">
        <f t="shared" si="39"/>
        <v>1800</v>
      </c>
      <c r="E255" s="80" t="str">
        <f t="shared" si="52"/>
        <v>还完了</v>
      </c>
      <c r="F255" s="79">
        <f t="shared" si="40"/>
        <v>966</v>
      </c>
      <c r="G255" s="79">
        <f t="shared" si="41"/>
        <v>4.41</v>
      </c>
      <c r="H255" s="79">
        <f t="shared" si="36"/>
        <v>3.6750000000000003</v>
      </c>
      <c r="I255" s="79">
        <f t="shared" si="42"/>
        <v>0</v>
      </c>
      <c r="J255" s="79" t="str">
        <f t="shared" si="49"/>
        <v>还完了</v>
      </c>
      <c r="K255" s="79" t="str">
        <f t="shared" si="50"/>
        <v>还完了</v>
      </c>
      <c r="L255" s="79" t="str">
        <f>IF(C255&lt;=0,"还完了",SUM(E$5:E254)+K255)</f>
        <v>还完了</v>
      </c>
      <c r="M255" s="79" t="str">
        <f t="shared" si="51"/>
        <v>还完了</v>
      </c>
    </row>
    <row r="256" spans="1:13" ht="12">
      <c r="A256" s="110"/>
      <c r="B256" s="78">
        <v>252</v>
      </c>
      <c r="C256" s="79">
        <f t="shared" si="38"/>
        <v>0</v>
      </c>
      <c r="D256" s="79">
        <f t="shared" si="39"/>
        <v>1800</v>
      </c>
      <c r="E256" s="80" t="str">
        <f t="shared" si="52"/>
        <v>还完了</v>
      </c>
      <c r="F256" s="79">
        <f t="shared" si="40"/>
        <v>966</v>
      </c>
      <c r="G256" s="79">
        <f t="shared" si="41"/>
        <v>4.41</v>
      </c>
      <c r="H256" s="79">
        <f t="shared" si="36"/>
        <v>3.6750000000000003</v>
      </c>
      <c r="I256" s="79">
        <f t="shared" si="42"/>
        <v>0</v>
      </c>
      <c r="J256" s="79" t="str">
        <f t="shared" si="49"/>
        <v>还完了</v>
      </c>
      <c r="K256" s="79" t="str">
        <f t="shared" si="50"/>
        <v>还完了</v>
      </c>
      <c r="L256" s="79" t="str">
        <f>IF(C256&lt;=0,"还完了",SUM(E$5:E255)+K256)</f>
        <v>还完了</v>
      </c>
      <c r="M256" s="79" t="str">
        <f t="shared" si="51"/>
        <v>还完了</v>
      </c>
    </row>
  </sheetData>
  <mergeCells count="24">
    <mergeCell ref="A161:A172"/>
    <mergeCell ref="A173:A184"/>
    <mergeCell ref="A113:A124"/>
    <mergeCell ref="A125:A136"/>
    <mergeCell ref="A137:A148"/>
    <mergeCell ref="A149:A160"/>
    <mergeCell ref="A65:A76"/>
    <mergeCell ref="A77:A88"/>
    <mergeCell ref="A89:A100"/>
    <mergeCell ref="A101:A112"/>
    <mergeCell ref="A17:A28"/>
    <mergeCell ref="A29:A40"/>
    <mergeCell ref="A41:A52"/>
    <mergeCell ref="A53:A64"/>
    <mergeCell ref="A1:M1"/>
    <mergeCell ref="A3:B3"/>
    <mergeCell ref="D3:E3"/>
    <mergeCell ref="A5:A16"/>
    <mergeCell ref="A233:A244"/>
    <mergeCell ref="A245:A256"/>
    <mergeCell ref="A185:A196"/>
    <mergeCell ref="A197:A208"/>
    <mergeCell ref="A209:A220"/>
    <mergeCell ref="A221:A23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21"/>
  <sheetViews>
    <sheetView tabSelected="1" zoomScale="90" zoomScaleNormal="90" workbookViewId="0" topLeftCell="A1">
      <selection activeCell="G15" sqref="G15"/>
    </sheetView>
  </sheetViews>
  <sheetFormatPr defaultColWidth="9.00390625" defaultRowHeight="19.5" customHeight="1"/>
  <cols>
    <col min="1" max="1" width="13.375" style="3" customWidth="1"/>
    <col min="2" max="2" width="15.25390625" style="3" customWidth="1"/>
    <col min="3" max="3" width="14.75390625" style="3" customWidth="1"/>
    <col min="4" max="4" width="15.00390625" style="3" customWidth="1"/>
    <col min="5" max="5" width="16.125" style="3" customWidth="1"/>
    <col min="6" max="6" width="18.875" style="3" customWidth="1"/>
    <col min="7" max="7" width="12.75390625" style="3" bestFit="1" customWidth="1"/>
    <col min="8" max="8" width="9.375" style="3" customWidth="1"/>
    <col min="9" max="16384" width="9.00390625" style="3" customWidth="1"/>
  </cols>
  <sheetData>
    <row r="1" spans="1:6" ht="39" customHeight="1">
      <c r="A1" s="140" t="s">
        <v>40</v>
      </c>
      <c r="B1" s="140"/>
      <c r="C1" s="140"/>
      <c r="D1" s="140"/>
      <c r="E1" s="140"/>
      <c r="F1" s="140"/>
    </row>
    <row r="2" spans="1:6" ht="19.5" customHeight="1">
      <c r="A2" s="4" t="s">
        <v>1</v>
      </c>
      <c r="B2" s="4" t="s">
        <v>2</v>
      </c>
      <c r="C2" s="4" t="s">
        <v>3</v>
      </c>
      <c r="D2" s="4" t="s">
        <v>4</v>
      </c>
      <c r="E2" s="4" t="s">
        <v>5</v>
      </c>
      <c r="F2" s="4" t="s">
        <v>25</v>
      </c>
    </row>
    <row r="3" spans="1:6" s="8" customFormat="1" ht="19.5" customHeight="1">
      <c r="A3" s="5">
        <v>2600</v>
      </c>
      <c r="B3" s="5">
        <v>123</v>
      </c>
      <c r="C3" s="6">
        <f>IF((A3*B3-280000)*0.1&gt;0,(A3*B3-280000)*0.1,0)</f>
        <v>3980</v>
      </c>
      <c r="D3" s="24">
        <f>A3*B3</f>
        <v>319800</v>
      </c>
      <c r="E3" s="24">
        <f>D3-F3*10000</f>
        <v>99800</v>
      </c>
      <c r="F3" s="7">
        <f>TRUNC(A3*B3*0.7/10000)</f>
        <v>22</v>
      </c>
    </row>
    <row r="4" spans="1:6" s="8" customFormat="1" ht="19.5" customHeight="1">
      <c r="A4" s="144" t="s">
        <v>110</v>
      </c>
      <c r="B4" s="144"/>
      <c r="C4" s="144"/>
      <c r="D4" s="144"/>
      <c r="E4" s="144"/>
      <c r="F4" s="144"/>
    </row>
    <row r="5" spans="1:7" s="8" customFormat="1" ht="19.5" customHeight="1">
      <c r="A5" s="142" t="s">
        <v>24</v>
      </c>
      <c r="B5" s="142"/>
      <c r="C5" s="142"/>
      <c r="D5" s="143" t="s">
        <v>0</v>
      </c>
      <c r="E5" s="143"/>
      <c r="F5" s="143"/>
      <c r="G5" s="70"/>
    </row>
    <row r="6" spans="1:6" s="8" customFormat="1" ht="19.5" customHeight="1">
      <c r="A6" s="27" t="s">
        <v>39</v>
      </c>
      <c r="B6" s="30">
        <v>0.0396</v>
      </c>
      <c r="C6" s="30">
        <v>0.0441</v>
      </c>
      <c r="D6" s="28" t="s">
        <v>39</v>
      </c>
      <c r="E6" s="29">
        <v>0.0527</v>
      </c>
      <c r="F6" s="29">
        <v>0.0551</v>
      </c>
    </row>
    <row r="7" spans="1:6" s="8" customFormat="1" ht="19.5" customHeight="1">
      <c r="A7" s="9" t="s">
        <v>6</v>
      </c>
      <c r="B7" s="9" t="s">
        <v>7</v>
      </c>
      <c r="C7" s="9" t="s">
        <v>8</v>
      </c>
      <c r="D7" s="18" t="s">
        <v>6</v>
      </c>
      <c r="E7" s="18" t="s">
        <v>7</v>
      </c>
      <c r="F7" s="18" t="s">
        <v>8</v>
      </c>
    </row>
    <row r="8" spans="1:6" s="8" customFormat="1" ht="19.5" customHeight="1">
      <c r="A8" s="10">
        <v>5</v>
      </c>
      <c r="B8" s="11">
        <v>10</v>
      </c>
      <c r="C8" s="12">
        <f>A8*12</f>
        <v>60</v>
      </c>
      <c r="D8" s="13">
        <v>20</v>
      </c>
      <c r="E8" s="5">
        <v>25</v>
      </c>
      <c r="F8" s="15">
        <f>D8*12</f>
        <v>240</v>
      </c>
    </row>
    <row r="9" spans="1:6" ht="19.5" customHeight="1">
      <c r="A9" s="9" t="s">
        <v>9</v>
      </c>
      <c r="B9" s="9" t="s">
        <v>10</v>
      </c>
      <c r="C9" s="9" t="s">
        <v>11</v>
      </c>
      <c r="D9" s="18" t="s">
        <v>9</v>
      </c>
      <c r="E9" s="18" t="s">
        <v>10</v>
      </c>
      <c r="F9" s="18" t="s">
        <v>11</v>
      </c>
    </row>
    <row r="10" spans="1:6" ht="19.5" customHeight="1">
      <c r="A10" s="31">
        <f>-PMT(IF(A8&lt;=5,B6/12,C6/12),A8*12,B8*10000)</f>
        <v>1839.8476551944264</v>
      </c>
      <c r="B10" s="25">
        <f>A10*C8</f>
        <v>110390.85931166558</v>
      </c>
      <c r="C10" s="25">
        <f>B10-B8*10000</f>
        <v>10390.859311665583</v>
      </c>
      <c r="D10" s="32">
        <f>-PMT(IF(D8&lt;=5,E6/12,F6/12),D8*12,E8*10000)</f>
        <v>1721.130570845382</v>
      </c>
      <c r="E10" s="23">
        <f>D10*F8</f>
        <v>413071.3370028917</v>
      </c>
      <c r="F10" s="23">
        <f>E10-E8*10000</f>
        <v>163071.3370028917</v>
      </c>
    </row>
    <row r="11" spans="1:6" ht="19.5" customHeight="1">
      <c r="A11" s="141" t="s">
        <v>22</v>
      </c>
      <c r="B11" s="141"/>
      <c r="C11" s="141"/>
      <c r="D11" s="141"/>
      <c r="E11" s="141"/>
      <c r="F11" s="141"/>
    </row>
    <row r="12" spans="1:6" ht="19.5" customHeight="1">
      <c r="A12" s="17" t="s">
        <v>12</v>
      </c>
      <c r="B12" s="17" t="s">
        <v>13</v>
      </c>
      <c r="C12" s="18" t="s">
        <v>23</v>
      </c>
      <c r="D12" s="19" t="s">
        <v>16</v>
      </c>
      <c r="E12" s="18" t="s">
        <v>18</v>
      </c>
      <c r="F12" s="18" t="s">
        <v>17</v>
      </c>
    </row>
    <row r="13" spans="1:6" ht="19.5" customHeight="1">
      <c r="A13" s="16">
        <v>20</v>
      </c>
      <c r="B13" s="5">
        <v>22</v>
      </c>
      <c r="C13" s="16">
        <v>1</v>
      </c>
      <c r="D13" s="26">
        <f>B13/A13/12*10000</f>
        <v>916.6666666666667</v>
      </c>
      <c r="E13" s="26">
        <f>F13+B13*10000</f>
        <v>341725.0833333333</v>
      </c>
      <c r="F13" s="22">
        <f>(6*A13*B13*10000+0.5*B13*10000)*IF(A13&lt;=5,E6/12,F6/12)</f>
        <v>121725.08333333333</v>
      </c>
    </row>
    <row r="14" spans="1:6" ht="19.5" customHeight="1">
      <c r="A14" s="17" t="s">
        <v>26</v>
      </c>
      <c r="B14" s="17" t="s">
        <v>19</v>
      </c>
      <c r="C14" s="18" t="s">
        <v>20</v>
      </c>
      <c r="D14" s="17" t="s">
        <v>26</v>
      </c>
      <c r="E14" s="17" t="s">
        <v>19</v>
      </c>
      <c r="F14" s="18" t="s">
        <v>20</v>
      </c>
    </row>
    <row r="15" spans="1:6" ht="19.5" customHeight="1">
      <c r="A15" s="14" t="s">
        <v>27</v>
      </c>
      <c r="B15" s="23">
        <f>IF(-ISPMT(IF(A13&lt;=5,E6/12,F6/12),(C13-1)*12,A13*12,B13*10000)&gt;0,-ISPMT(IF(A13&lt;=5,E6/12,F6/12),(C13-1)*12,A13*12,B13*10000),"已还完")</f>
        <v>1010.1666666666666</v>
      </c>
      <c r="C15" s="23">
        <f>IF(B15="已还完",B15,D13+B15)</f>
        <v>1926.8333333333335</v>
      </c>
      <c r="D15" s="14" t="s">
        <v>33</v>
      </c>
      <c r="E15" s="23">
        <f>IF(-ISPMT(IF(A13&lt;=5,E6/12,F6)/12,(C13-1)*12+6,A13*12,B13*10000)&gt;0,-ISPMT(IF(A13&lt;=5,E6/12,F6)/12,(C13-1)*12+6,A13*12,B13*10000),"已还完")</f>
        <v>984.9125</v>
      </c>
      <c r="F15" s="23">
        <f>IF(E15="已还完",E15,D13+E15)</f>
        <v>1901.5791666666669</v>
      </c>
    </row>
    <row r="16" spans="1:6" ht="19.5" customHeight="1">
      <c r="A16" s="14" t="s">
        <v>28</v>
      </c>
      <c r="B16" s="23">
        <f>IF(-ISPMT(IF(A13&lt;=5,E6/12,F6)/12,(C13-1)*12+1,A13*12,B13*10000)&gt;0,-ISPMT(IF(A13&lt;=5,E6/12,F6)/12,(C13-1)*12+1,A13*12,B13*10000),"已还完")</f>
        <v>1005.9576388888889</v>
      </c>
      <c r="C16" s="23">
        <f>IF(B16="已还完",B16,D13+B16)</f>
        <v>1922.6243055555556</v>
      </c>
      <c r="D16" s="14" t="s">
        <v>34</v>
      </c>
      <c r="E16" s="23">
        <f>IF(-ISPMT(IF(A13&lt;=5,E6/12,F6)/12,(C13-1)*12+7,A13*12,B13*10000)&gt;0,-ISPMT(IF(A13&lt;=5,E6/12,F6)/12,(C13-1)*12+7,A13*12,B13*10000),"已还完")</f>
        <v>980.7034722222222</v>
      </c>
      <c r="F16" s="23">
        <f>IF(E16="已还完",E16,D13+E16)</f>
        <v>1897.370138888889</v>
      </c>
    </row>
    <row r="17" spans="1:6" ht="19.5" customHeight="1">
      <c r="A17" s="14" t="s">
        <v>29</v>
      </c>
      <c r="B17" s="23">
        <f>IF(-ISPMT(IF(A13&lt;=5,E6/12,F6)/12,(C13-1)*12+2,A13*12,B13*10000)&gt;0,-ISPMT(IF(A13&lt;=5,E6/12,F6)/12,(C13-1)*12+2,A13*12,B13*10000),"已还完")</f>
        <v>1001.748611111111</v>
      </c>
      <c r="C17" s="23">
        <f>IF(B17="已还完",B17,D13+B17)</f>
        <v>1918.4152777777776</v>
      </c>
      <c r="D17" s="14" t="s">
        <v>35</v>
      </c>
      <c r="E17" s="23">
        <f>IF(-ISPMT(IF(A13&lt;=5,E6/12,F6)/12,(C13-1)*12+8,A13*12,B13*10000)&gt;0,-ISPMT(IF(A13&lt;=5,E6/12,F6)/12,(C13-1)*12+8,A13*12,B13*10000),"已还完")</f>
        <v>976.4944444444444</v>
      </c>
      <c r="F17" s="23">
        <f>IF(E17="已还完",E17,D13+E17)</f>
        <v>1893.161111111111</v>
      </c>
    </row>
    <row r="18" spans="1:6" ht="19.5" customHeight="1">
      <c r="A18" s="14" t="s">
        <v>30</v>
      </c>
      <c r="B18" s="23">
        <f>IF(-ISPMT(IF(A13&lt;=5,E6/12,F6)/12,(C13-1)*12+3,A13*12,B13*10000)&gt;0,-ISPMT(IF(A13&lt;=5,E6/12,F6)/12,(C13-1)*12+3,A13*12,B13*10000),"已还完")</f>
        <v>997.5395833333333</v>
      </c>
      <c r="C18" s="23">
        <f>IF(B18="已还完",B18,D13+B18)</f>
        <v>1914.2062500000002</v>
      </c>
      <c r="D18" s="14" t="s">
        <v>36</v>
      </c>
      <c r="E18" s="23">
        <f>IF(-ISPMT(IF(A13&lt;=5,E6/12,F6)/12,(C13-1)*12+9,A13*12,B13*10000)&gt;0,-ISPMT(IF(A13&lt;=5,E6/12,F6)/12,(C13-1)*12+9,A13*12,B13*10000),"已还完")</f>
        <v>972.2854166666667</v>
      </c>
      <c r="F18" s="23">
        <f>IF(E18="已还完",E18,D13+E18)</f>
        <v>1888.9520833333336</v>
      </c>
    </row>
    <row r="19" spans="1:6" ht="19.5" customHeight="1">
      <c r="A19" s="14" t="s">
        <v>31</v>
      </c>
      <c r="B19" s="23">
        <f>IF(-ISPMT(IF(A13&lt;=5,E6/12,F6)/12,(C13-1)*12+4,A13*12,B13*10000)&gt;0,-ISPMT(IF(A13&lt;=5,E6/12,F6)/12,(C13-1)*12+4,A13*12,B13*10000),"已还完")</f>
        <v>993.3305555555556</v>
      </c>
      <c r="C19" s="23">
        <f>IF(B19="已还完",B19,D13+B19)</f>
        <v>1909.9972222222223</v>
      </c>
      <c r="D19" s="14" t="s">
        <v>37</v>
      </c>
      <c r="E19" s="23">
        <f>IF(-ISPMT(IF(A13&lt;=5,E6/12,F6)/12,(C13-1)*12+10,A13*12,B13*10000)&gt;0,-ISPMT(IF(A13&lt;=5,E6/12,F6)/12,(C13-1)*12+10,A13*12,B13*10000),"已还完")</f>
        <v>968.0763888888889</v>
      </c>
      <c r="F19" s="23">
        <f>IF(E19="已还完",E19,D13+E19)</f>
        <v>1884.7430555555557</v>
      </c>
    </row>
    <row r="20" spans="1:6" ht="19.5" customHeight="1">
      <c r="A20" s="14" t="s">
        <v>32</v>
      </c>
      <c r="B20" s="23">
        <f>IF(-ISPMT(IF(A13&lt;=5,E6/12,F6)/12,(C13-1)*12+5,A13*12,B13*10000)&gt;0,-ISPMT(IF(A13&lt;=5,E6/12,F6)/12,(C13-1)*12+5,A13*12,B13*10000),"已还完")</f>
        <v>989.1215277777777</v>
      </c>
      <c r="C20" s="23">
        <f>IF(B20="已还完",B20,D13+B20)</f>
        <v>1905.7881944444443</v>
      </c>
      <c r="D20" s="14" t="s">
        <v>38</v>
      </c>
      <c r="E20" s="23">
        <f>IF(-ISPMT(IF(A13&lt;=5,E6/12,F6)/12,(C13-1)*12+11,A13*12,B13*10000)&gt;0,-ISPMT(IF(A13&lt;=5,E6/12,F6)/12,(C13-1)*12+11,A13*12,B13*10000),"已还完")</f>
        <v>963.8673611111111</v>
      </c>
      <c r="F20" s="23">
        <f>IF(E20="已还完",E20,D13+E20)</f>
        <v>1880.5340277777777</v>
      </c>
    </row>
    <row r="21" spans="1:5" ht="19.5" customHeight="1">
      <c r="A21" s="2" t="s">
        <v>14</v>
      </c>
      <c r="B21" s="146" t="s">
        <v>129</v>
      </c>
      <c r="C21" s="146"/>
      <c r="D21" s="146"/>
      <c r="E21" s="21"/>
    </row>
    <row r="22" spans="1:6" ht="19.5" customHeight="1">
      <c r="A22" s="1"/>
      <c r="B22" s="147" t="s">
        <v>15</v>
      </c>
      <c r="C22" s="147"/>
      <c r="D22" s="147"/>
      <c r="F22" s="20"/>
    </row>
    <row r="23" spans="1:4" ht="19.5" customHeight="1">
      <c r="A23" s="1"/>
      <c r="B23" s="147" t="s">
        <v>21</v>
      </c>
      <c r="C23" s="147"/>
      <c r="D23" s="147"/>
    </row>
    <row r="24" spans="1:7" ht="19.5" customHeight="1">
      <c r="A24" s="1" t="s">
        <v>131</v>
      </c>
      <c r="B24" s="145" t="s">
        <v>112</v>
      </c>
      <c r="C24" s="145"/>
      <c r="D24" s="145" t="s">
        <v>113</v>
      </c>
      <c r="E24" s="145"/>
      <c r="G24" s="83"/>
    </row>
    <row r="25" spans="1:7" ht="19.5" customHeight="1">
      <c r="A25" s="1"/>
      <c r="B25" s="108" t="s">
        <v>105</v>
      </c>
      <c r="C25" s="65">
        <f>D3*0.0005</f>
        <v>159.9</v>
      </c>
      <c r="D25" s="108" t="s">
        <v>105</v>
      </c>
      <c r="E25" s="65">
        <f>D3*0.0005</f>
        <v>159.9</v>
      </c>
      <c r="G25" s="83"/>
    </row>
    <row r="26" spans="1:7" ht="19.5" customHeight="1">
      <c r="A26" s="1"/>
      <c r="B26" s="105" t="s">
        <v>106</v>
      </c>
      <c r="C26" s="66">
        <f>F3*0.003*10000</f>
        <v>660</v>
      </c>
      <c r="D26" s="105" t="s">
        <v>108</v>
      </c>
      <c r="E26" s="68">
        <f>F3*0.005*10000</f>
        <v>1100</v>
      </c>
      <c r="F26" s="70"/>
      <c r="G26" s="86"/>
    </row>
    <row r="27" spans="1:8" ht="19.5" customHeight="1">
      <c r="A27" s="1"/>
      <c r="B27" s="105" t="s">
        <v>107</v>
      </c>
      <c r="C27" s="67">
        <f>D3*16.3229*0.001*228/240/(1+12*0.1875%)</f>
        <v>4849.936673838631</v>
      </c>
      <c r="D27" s="109" t="s">
        <v>111</v>
      </c>
      <c r="E27" s="69">
        <v>2000</v>
      </c>
      <c r="G27" s="86"/>
      <c r="H27" s="83"/>
    </row>
    <row r="28" spans="1:7" ht="19.5" customHeight="1">
      <c r="A28" s="1"/>
      <c r="B28" s="105" t="s">
        <v>109</v>
      </c>
      <c r="C28" s="66">
        <f>SUM(C25:C27)</f>
        <v>5669.83667383863</v>
      </c>
      <c r="D28" s="105" t="s">
        <v>109</v>
      </c>
      <c r="E28" s="84">
        <f>SUM(E25:E27)</f>
        <v>3259.9</v>
      </c>
      <c r="G28" s="86"/>
    </row>
    <row r="29" spans="1:8" ht="19.5" customHeight="1">
      <c r="A29" s="1"/>
      <c r="B29" s="1"/>
      <c r="C29" s="1"/>
      <c r="D29"/>
      <c r="G29" s="83"/>
      <c r="H29" s="85"/>
    </row>
    <row r="30" spans="1:4" ht="19.5" customHeight="1">
      <c r="A30" s="1"/>
      <c r="B30" s="1"/>
      <c r="C30" s="1"/>
      <c r="D30"/>
    </row>
    <row r="31" spans="1:4" ht="19.5" customHeight="1">
      <c r="A31" s="1"/>
      <c r="B31" s="1"/>
      <c r="C31" s="1"/>
      <c r="D31"/>
    </row>
    <row r="32" spans="1:4" ht="19.5" customHeight="1">
      <c r="A32" s="1"/>
      <c r="B32" s="1"/>
      <c r="C32" s="1"/>
      <c r="D32"/>
    </row>
    <row r="33" spans="1:4" ht="19.5" customHeight="1">
      <c r="A33" s="1"/>
      <c r="B33" s="1"/>
      <c r="C33" s="1"/>
      <c r="D33"/>
    </row>
    <row r="34" spans="1:4" ht="19.5" customHeight="1">
      <c r="A34" s="1"/>
      <c r="B34" s="1"/>
      <c r="C34" s="1"/>
      <c r="D34"/>
    </row>
    <row r="35" spans="1:4" ht="19.5" customHeight="1">
      <c r="A35" s="1"/>
      <c r="B35" s="1"/>
      <c r="C35" s="1"/>
      <c r="D35"/>
    </row>
    <row r="36" spans="1:4" ht="19.5" customHeight="1">
      <c r="A36" s="1"/>
      <c r="B36" s="1"/>
      <c r="C36" s="1"/>
      <c r="D36"/>
    </row>
    <row r="37" spans="1:4" ht="19.5" customHeight="1">
      <c r="A37" s="1"/>
      <c r="B37" s="1"/>
      <c r="C37" s="1"/>
      <c r="D37"/>
    </row>
    <row r="38" spans="1:4" ht="19.5" customHeight="1">
      <c r="A38" s="1"/>
      <c r="B38" s="1"/>
      <c r="C38" s="1"/>
      <c r="D38"/>
    </row>
    <row r="39" spans="1:4" ht="19.5" customHeight="1">
      <c r="A39" s="1"/>
      <c r="B39" s="1"/>
      <c r="C39" s="1"/>
      <c r="D39"/>
    </row>
    <row r="40" spans="1:4" ht="19.5" customHeight="1">
      <c r="A40" s="1"/>
      <c r="B40" s="1"/>
      <c r="C40" s="1"/>
      <c r="D40" s="1"/>
    </row>
    <row r="41" spans="1:4" ht="19.5" customHeight="1">
      <c r="A41" s="1"/>
      <c r="B41" s="1"/>
      <c r="C41" s="1"/>
      <c r="D41" s="1"/>
    </row>
    <row r="42" spans="1:4" ht="19.5" customHeight="1">
      <c r="A42" s="1"/>
      <c r="B42" s="1"/>
      <c r="C42" s="1"/>
      <c r="D42" s="1"/>
    </row>
    <row r="43" spans="1:4" ht="19.5" customHeight="1">
      <c r="A43" s="1"/>
      <c r="B43" s="1"/>
      <c r="C43" s="1"/>
      <c r="D43" s="1"/>
    </row>
    <row r="44" spans="1:4" ht="19.5" customHeight="1">
      <c r="A44" s="1"/>
      <c r="B44" s="1"/>
      <c r="C44" s="1"/>
      <c r="D44" s="1"/>
    </row>
    <row r="45" spans="1:4" ht="19.5" customHeight="1">
      <c r="A45" s="1"/>
      <c r="B45" s="1"/>
      <c r="C45" s="1"/>
      <c r="D45" s="1"/>
    </row>
    <row r="46" spans="1:4" ht="19.5" customHeight="1">
      <c r="A46" s="1"/>
      <c r="B46" s="1"/>
      <c r="C46" s="1"/>
      <c r="D46" s="1"/>
    </row>
    <row r="47" spans="1:4" ht="19.5" customHeight="1">
      <c r="A47" s="1"/>
      <c r="B47" s="1"/>
      <c r="C47" s="1"/>
      <c r="D47" s="1"/>
    </row>
    <row r="48" spans="1:4" ht="19.5" customHeight="1">
      <c r="A48" s="1"/>
      <c r="B48" s="1"/>
      <c r="C48" s="1"/>
      <c r="D48" s="1"/>
    </row>
    <row r="49" spans="1:4" ht="19.5" customHeight="1">
      <c r="A49" s="1"/>
      <c r="B49" s="1"/>
      <c r="C49" s="1"/>
      <c r="D49" s="1"/>
    </row>
    <row r="50" spans="1:4" ht="19.5" customHeight="1">
      <c r="A50" s="1"/>
      <c r="B50" s="1"/>
      <c r="C50" s="1"/>
      <c r="D50" s="1"/>
    </row>
    <row r="51" spans="1:4" ht="19.5" customHeight="1">
      <c r="A51" s="1"/>
      <c r="B51" s="1"/>
      <c r="C51" s="1"/>
      <c r="D51" s="1"/>
    </row>
    <row r="52" spans="1:4" ht="19.5" customHeight="1">
      <c r="A52" s="1"/>
      <c r="B52" s="1"/>
      <c r="C52" s="1"/>
      <c r="D52" s="1"/>
    </row>
    <row r="53" spans="1:4" ht="19.5" customHeight="1">
      <c r="A53" s="1"/>
      <c r="B53" s="1"/>
      <c r="C53" s="1"/>
      <c r="D53" s="1"/>
    </row>
    <row r="54" spans="1:4" ht="19.5" customHeight="1">
      <c r="A54" s="1"/>
      <c r="B54" s="1"/>
      <c r="C54" s="1"/>
      <c r="D54" s="1"/>
    </row>
    <row r="55" spans="1:4" ht="19.5" customHeight="1">
      <c r="A55" s="1"/>
      <c r="B55" s="1"/>
      <c r="C55" s="1"/>
      <c r="D55" s="1"/>
    </row>
    <row r="56" spans="1:4" ht="19.5" customHeight="1">
      <c r="A56" s="1"/>
      <c r="B56" s="1"/>
      <c r="C56" s="1"/>
      <c r="D56" s="1"/>
    </row>
    <row r="57" spans="1:4" ht="19.5" customHeight="1">
      <c r="A57" s="1"/>
      <c r="B57" s="1"/>
      <c r="C57" s="1"/>
      <c r="D57" s="1"/>
    </row>
    <row r="58" spans="1:4" ht="19.5" customHeight="1">
      <c r="A58" s="1"/>
      <c r="B58" s="1"/>
      <c r="C58" s="1"/>
      <c r="D58" s="1"/>
    </row>
    <row r="59" spans="1:4" ht="19.5" customHeight="1">
      <c r="A59" s="1"/>
      <c r="B59" s="1"/>
      <c r="C59" s="1"/>
      <c r="D59" s="1"/>
    </row>
    <row r="60" spans="1:4" ht="19.5" customHeight="1">
      <c r="A60" s="1"/>
      <c r="B60" s="1"/>
      <c r="C60" s="1"/>
      <c r="D60" s="1"/>
    </row>
    <row r="61" spans="1:4" ht="19.5" customHeight="1">
      <c r="A61" s="1"/>
      <c r="B61" s="1"/>
      <c r="C61" s="1"/>
      <c r="D61" s="1"/>
    </row>
    <row r="62" spans="1:4" ht="19.5" customHeight="1">
      <c r="A62" s="1"/>
      <c r="B62" s="1"/>
      <c r="C62" s="1"/>
      <c r="D62" s="1"/>
    </row>
    <row r="63" spans="1:4" ht="19.5" customHeight="1">
      <c r="A63" s="1"/>
      <c r="B63" s="1"/>
      <c r="C63" s="1"/>
      <c r="D63" s="1"/>
    </row>
    <row r="64" spans="1:4" ht="19.5" customHeight="1">
      <c r="A64" s="1"/>
      <c r="B64" s="1"/>
      <c r="C64" s="1"/>
      <c r="D64" s="1"/>
    </row>
    <row r="65" spans="1:4" ht="19.5" customHeight="1">
      <c r="A65" s="1"/>
      <c r="B65" s="1"/>
      <c r="C65" s="1"/>
      <c r="D65" s="1"/>
    </row>
    <row r="66" spans="1:4" ht="19.5" customHeight="1">
      <c r="A66" s="1"/>
      <c r="B66" s="1"/>
      <c r="C66" s="1"/>
      <c r="D66" s="1"/>
    </row>
    <row r="67" spans="1:4" ht="19.5" customHeight="1">
      <c r="A67" s="1"/>
      <c r="B67" s="1"/>
      <c r="C67" s="1"/>
      <c r="D67" s="1"/>
    </row>
    <row r="68" spans="1:4" ht="19.5" customHeight="1">
      <c r="A68" s="1"/>
      <c r="B68" s="1"/>
      <c r="C68" s="1"/>
      <c r="D68" s="1"/>
    </row>
    <row r="69" spans="1:4" ht="19.5" customHeight="1">
      <c r="A69" s="1"/>
      <c r="B69" s="1"/>
      <c r="C69" s="1"/>
      <c r="D69" s="1"/>
    </row>
    <row r="70" spans="1:4" ht="19.5" customHeight="1">
      <c r="A70" s="1"/>
      <c r="B70" s="1"/>
      <c r="C70" s="1"/>
      <c r="D70" s="1"/>
    </row>
    <row r="71" spans="1:4" ht="19.5" customHeight="1">
      <c r="A71" s="1"/>
      <c r="B71" s="1"/>
      <c r="C71" s="1"/>
      <c r="D71" s="1"/>
    </row>
    <row r="72" spans="1:4" ht="19.5" customHeight="1">
      <c r="A72" s="1"/>
      <c r="B72" s="1"/>
      <c r="C72" s="1"/>
      <c r="D72" s="1"/>
    </row>
    <row r="73" spans="1:4" ht="19.5" customHeight="1">
      <c r="A73" s="1"/>
      <c r="B73" s="1"/>
      <c r="C73" s="1"/>
      <c r="D73" s="1"/>
    </row>
    <row r="74" spans="1:4" ht="19.5" customHeight="1">
      <c r="A74" s="1"/>
      <c r="B74" s="1"/>
      <c r="C74" s="1"/>
      <c r="D74" s="1"/>
    </row>
    <row r="75" spans="1:4" ht="19.5" customHeight="1">
      <c r="A75" s="1"/>
      <c r="B75" s="1"/>
      <c r="C75" s="1"/>
      <c r="D75" s="1"/>
    </row>
    <row r="76" spans="1:4" ht="19.5" customHeight="1">
      <c r="A76" s="1"/>
      <c r="B76" s="1"/>
      <c r="C76" s="1"/>
      <c r="D76" s="1"/>
    </row>
    <row r="77" spans="1:4" ht="19.5" customHeight="1">
      <c r="A77" s="1"/>
      <c r="B77" s="1"/>
      <c r="C77" s="1"/>
      <c r="D77" s="1"/>
    </row>
    <row r="78" spans="1:4" ht="19.5" customHeight="1">
      <c r="A78" s="1"/>
      <c r="B78" s="1"/>
      <c r="C78" s="1"/>
      <c r="D78" s="1"/>
    </row>
    <row r="79" spans="1:4" ht="19.5" customHeight="1">
      <c r="A79" s="1"/>
      <c r="B79" s="1"/>
      <c r="C79" s="1"/>
      <c r="D79" s="1"/>
    </row>
    <row r="80" spans="1:4" ht="19.5" customHeight="1">
      <c r="A80" s="1"/>
      <c r="B80" s="1"/>
      <c r="C80" s="1"/>
      <c r="D80" s="1"/>
    </row>
    <row r="81" spans="1:4" ht="19.5" customHeight="1">
      <c r="A81" s="1"/>
      <c r="B81" s="1"/>
      <c r="C81" s="1"/>
      <c r="D81" s="1"/>
    </row>
    <row r="82" spans="1:4" ht="19.5" customHeight="1">
      <c r="A82" s="1"/>
      <c r="B82" s="1"/>
      <c r="C82" s="1"/>
      <c r="D82" s="1"/>
    </row>
    <row r="83" spans="1:4" ht="19.5" customHeight="1">
      <c r="A83" s="1"/>
      <c r="B83" s="1"/>
      <c r="C83" s="1"/>
      <c r="D83" s="1"/>
    </row>
    <row r="84" spans="1:4" ht="19.5" customHeight="1">
      <c r="A84" s="1"/>
      <c r="B84" s="1"/>
      <c r="C84" s="1"/>
      <c r="D84" s="1"/>
    </row>
    <row r="85" spans="1:4" ht="19.5" customHeight="1">
      <c r="A85" s="1"/>
      <c r="B85" s="1"/>
      <c r="C85" s="1"/>
      <c r="D85" s="1"/>
    </row>
    <row r="86" spans="1:4" ht="19.5" customHeight="1">
      <c r="A86" s="1"/>
      <c r="B86" s="1"/>
      <c r="C86" s="1"/>
      <c r="D86" s="1"/>
    </row>
    <row r="87" spans="1:4" ht="19.5" customHeight="1">
      <c r="A87" s="1"/>
      <c r="B87" s="1"/>
      <c r="C87" s="1"/>
      <c r="D87" s="1"/>
    </row>
    <row r="88" spans="1:4" ht="19.5" customHeight="1">
      <c r="A88" s="1"/>
      <c r="B88" s="1"/>
      <c r="C88" s="1"/>
      <c r="D88" s="1"/>
    </row>
    <row r="89" spans="1:4" ht="19.5" customHeight="1">
      <c r="A89" s="1"/>
      <c r="B89" s="1"/>
      <c r="C89" s="1"/>
      <c r="D89" s="1"/>
    </row>
    <row r="90" spans="1:4" ht="19.5" customHeight="1">
      <c r="A90" s="1"/>
      <c r="B90" s="1"/>
      <c r="C90" s="1"/>
      <c r="D90" s="1"/>
    </row>
    <row r="91" spans="1:4" ht="19.5" customHeight="1">
      <c r="A91" s="1"/>
      <c r="B91" s="1"/>
      <c r="C91" s="1"/>
      <c r="D91" s="1"/>
    </row>
    <row r="92" spans="1:4" ht="19.5" customHeight="1">
      <c r="A92" s="1"/>
      <c r="B92" s="1"/>
      <c r="C92" s="1"/>
      <c r="D92" s="1"/>
    </row>
    <row r="93" spans="1:4" ht="19.5" customHeight="1">
      <c r="A93" s="1"/>
      <c r="B93" s="1"/>
      <c r="C93" s="1"/>
      <c r="D93" s="1"/>
    </row>
    <row r="94" spans="1:4" ht="19.5" customHeight="1">
      <c r="A94" s="1"/>
      <c r="B94" s="1"/>
      <c r="C94" s="1"/>
      <c r="D94" s="1"/>
    </row>
    <row r="95" spans="1:4" ht="19.5" customHeight="1">
      <c r="A95" s="1"/>
      <c r="B95" s="1"/>
      <c r="C95" s="1"/>
      <c r="D95" s="1"/>
    </row>
    <row r="96" spans="1:4" ht="19.5" customHeight="1">
      <c r="A96" s="1"/>
      <c r="B96" s="1"/>
      <c r="C96" s="1"/>
      <c r="D96" s="1"/>
    </row>
    <row r="97" spans="1:4" ht="19.5" customHeight="1">
      <c r="A97" s="1"/>
      <c r="B97" s="1"/>
      <c r="C97" s="1"/>
      <c r="D97" s="1"/>
    </row>
    <row r="98" spans="1:4" ht="19.5" customHeight="1">
      <c r="A98" s="1"/>
      <c r="B98" s="1"/>
      <c r="C98" s="1"/>
      <c r="D98" s="1"/>
    </row>
    <row r="99" spans="1:4" ht="19.5" customHeight="1">
      <c r="A99" s="1"/>
      <c r="B99" s="1"/>
      <c r="C99" s="1"/>
      <c r="D99" s="1"/>
    </row>
    <row r="100" spans="1:4" ht="19.5" customHeight="1">
      <c r="A100" s="1"/>
      <c r="B100" s="1"/>
      <c r="C100" s="1"/>
      <c r="D100" s="1"/>
    </row>
    <row r="101" spans="1:4" ht="19.5" customHeight="1">
      <c r="A101" s="1"/>
      <c r="B101" s="1"/>
      <c r="C101" s="1"/>
      <c r="D101" s="1"/>
    </row>
    <row r="102" spans="1:4" ht="19.5" customHeight="1">
      <c r="A102" s="1"/>
      <c r="B102" s="1"/>
      <c r="C102" s="1"/>
      <c r="D102" s="1"/>
    </row>
    <row r="103" spans="1:4" ht="19.5" customHeight="1">
      <c r="A103" s="1"/>
      <c r="B103" s="1"/>
      <c r="C103" s="1"/>
      <c r="D103" s="1"/>
    </row>
    <row r="104" spans="1:4" ht="19.5" customHeight="1">
      <c r="A104" s="1"/>
      <c r="B104" s="1"/>
      <c r="C104" s="1"/>
      <c r="D104" s="1"/>
    </row>
    <row r="105" spans="1:4" ht="19.5" customHeight="1">
      <c r="A105" s="1"/>
      <c r="B105" s="1"/>
      <c r="C105" s="1"/>
      <c r="D105" s="1"/>
    </row>
    <row r="106" spans="1:4" ht="19.5" customHeight="1">
      <c r="A106" s="1"/>
      <c r="B106" s="1"/>
      <c r="C106" s="1"/>
      <c r="D106" s="1"/>
    </row>
    <row r="107" spans="1:4" ht="19.5" customHeight="1">
      <c r="A107" s="1"/>
      <c r="B107" s="1"/>
      <c r="C107" s="1"/>
      <c r="D107" s="1"/>
    </row>
    <row r="108" spans="1:4" ht="19.5" customHeight="1">
      <c r="A108" s="1"/>
      <c r="B108" s="1"/>
      <c r="C108" s="1"/>
      <c r="D108" s="1"/>
    </row>
    <row r="109" spans="1:4" ht="19.5" customHeight="1">
      <c r="A109" s="1"/>
      <c r="B109" s="1"/>
      <c r="C109" s="1"/>
      <c r="D109" s="1"/>
    </row>
    <row r="110" spans="1:4" ht="19.5" customHeight="1">
      <c r="A110" s="1"/>
      <c r="B110" s="1"/>
      <c r="C110" s="1"/>
      <c r="D110" s="1"/>
    </row>
    <row r="111" spans="1:4" ht="19.5" customHeight="1">
      <c r="A111" s="1"/>
      <c r="B111" s="1"/>
      <c r="C111" s="1"/>
      <c r="D111" s="1"/>
    </row>
    <row r="112" spans="1:4" ht="19.5" customHeight="1">
      <c r="A112" s="1"/>
      <c r="B112" s="1"/>
      <c r="C112" s="1"/>
      <c r="D112" s="1"/>
    </row>
    <row r="113" spans="1:4" ht="19.5" customHeight="1">
      <c r="A113" s="1"/>
      <c r="B113" s="1"/>
      <c r="C113" s="1"/>
      <c r="D113" s="1"/>
    </row>
    <row r="114" spans="1:4" ht="19.5" customHeight="1">
      <c r="A114" s="1"/>
      <c r="B114" s="1"/>
      <c r="C114" s="1"/>
      <c r="D114" s="1"/>
    </row>
    <row r="115" spans="1:4" ht="19.5" customHeight="1">
      <c r="A115" s="1"/>
      <c r="B115" s="1"/>
      <c r="C115" s="1"/>
      <c r="D115" s="1"/>
    </row>
    <row r="116" spans="1:4" ht="19.5" customHeight="1">
      <c r="A116" s="1"/>
      <c r="B116" s="1"/>
      <c r="C116" s="1"/>
      <c r="D116" s="1"/>
    </row>
    <row r="117" spans="1:4" ht="19.5" customHeight="1">
      <c r="A117" s="1"/>
      <c r="B117" s="1"/>
      <c r="C117" s="1"/>
      <c r="D117" s="1"/>
    </row>
    <row r="118" spans="1:4" ht="19.5" customHeight="1">
      <c r="A118" s="1"/>
      <c r="B118" s="1"/>
      <c r="C118" s="1"/>
      <c r="D118" s="1"/>
    </row>
    <row r="119" spans="1:4" ht="19.5" customHeight="1">
      <c r="A119" s="1"/>
      <c r="B119" s="1"/>
      <c r="C119" s="1"/>
      <c r="D119" s="1"/>
    </row>
    <row r="120" spans="1:4" ht="19.5" customHeight="1">
      <c r="A120" s="1"/>
      <c r="B120" s="1"/>
      <c r="C120" s="1"/>
      <c r="D120" s="1"/>
    </row>
    <row r="121" spans="1:4" ht="19.5" customHeight="1">
      <c r="A121" s="1"/>
      <c r="B121" s="1"/>
      <c r="C121" s="1"/>
      <c r="D121" s="1"/>
    </row>
  </sheetData>
  <mergeCells count="10">
    <mergeCell ref="B24:C24"/>
    <mergeCell ref="D24:E24"/>
    <mergeCell ref="B21:D21"/>
    <mergeCell ref="B22:D22"/>
    <mergeCell ref="B23:D23"/>
    <mergeCell ref="A1:F1"/>
    <mergeCell ref="A11:F11"/>
    <mergeCell ref="A5:C5"/>
    <mergeCell ref="D5:F5"/>
    <mergeCell ref="A4:F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1"/>
  <sheetViews>
    <sheetView workbookViewId="0" topLeftCell="A1">
      <pane ySplit="2" topLeftCell="BM3" activePane="bottomLeft" state="frozen"/>
      <selection pane="topLeft" activeCell="A1" sqref="A1"/>
      <selection pane="bottomLeft" activeCell="E9" sqref="E9"/>
    </sheetView>
  </sheetViews>
  <sheetFormatPr defaultColWidth="9.00390625" defaultRowHeight="14.25"/>
  <cols>
    <col min="1" max="1" width="18.75390625" style="0" customWidth="1"/>
    <col min="2" max="2" width="18.875" style="0" customWidth="1"/>
    <col min="3" max="3" width="17.00390625" style="0" customWidth="1"/>
  </cols>
  <sheetData>
    <row r="1" spans="1:3" ht="32.25">
      <c r="A1" s="140" t="s">
        <v>137</v>
      </c>
      <c r="B1" s="140"/>
      <c r="C1" s="140"/>
    </row>
    <row r="2" spans="1:3" ht="20.25">
      <c r="A2" s="148" t="s">
        <v>138</v>
      </c>
      <c r="B2" s="149"/>
      <c r="C2" s="150"/>
    </row>
    <row r="3" spans="1:3" ht="20.25">
      <c r="A3" s="98" t="s">
        <v>141</v>
      </c>
      <c r="B3" s="98" t="s">
        <v>142</v>
      </c>
      <c r="C3" s="98" t="s">
        <v>157</v>
      </c>
    </row>
    <row r="4" spans="1:3" ht="20.25">
      <c r="A4" s="112">
        <v>45</v>
      </c>
      <c r="B4" s="113">
        <v>115</v>
      </c>
      <c r="C4" s="112">
        <v>20</v>
      </c>
    </row>
    <row r="5" spans="1:3" ht="20.25">
      <c r="A5" s="98" t="s">
        <v>143</v>
      </c>
      <c r="B5" s="28" t="s">
        <v>154</v>
      </c>
      <c r="C5" s="98" t="s">
        <v>158</v>
      </c>
    </row>
    <row r="6" spans="1:3" ht="20.25">
      <c r="A6" s="115">
        <f>A4/B4*10000</f>
        <v>3913.04347826087</v>
      </c>
      <c r="B6" s="114">
        <f>A4-B4*2760/10000</f>
        <v>13.260000000000002</v>
      </c>
      <c r="C6" s="116">
        <f>A4-C4</f>
        <v>25</v>
      </c>
    </row>
    <row r="7" spans="1:3" ht="20.25">
      <c r="A7" s="104" t="s">
        <v>132</v>
      </c>
      <c r="B7" s="104" t="s">
        <v>135</v>
      </c>
      <c r="C7" s="104" t="s">
        <v>139</v>
      </c>
    </row>
    <row r="8" spans="1:3" ht="20.25">
      <c r="A8" s="91" t="s">
        <v>140</v>
      </c>
      <c r="B8" s="94">
        <v>0.015</v>
      </c>
      <c r="C8" s="90">
        <f>A4*B8*10000</f>
        <v>6749.999999999999</v>
      </c>
    </row>
    <row r="9" spans="1:3" ht="20.25">
      <c r="A9" s="91" t="s">
        <v>133</v>
      </c>
      <c r="B9" s="94">
        <v>0.001</v>
      </c>
      <c r="C9" s="90">
        <f>A4*B9*10000</f>
        <v>450</v>
      </c>
    </row>
    <row r="10" spans="1:3" ht="21">
      <c r="A10" s="92" t="s">
        <v>149</v>
      </c>
      <c r="B10" s="97">
        <v>0</v>
      </c>
      <c r="C10" s="90">
        <f>A4*B10*10000</f>
        <v>0</v>
      </c>
    </row>
    <row r="11" spans="1:3" ht="20.25">
      <c r="A11" s="91" t="s">
        <v>134</v>
      </c>
      <c r="B11" s="94">
        <v>0</v>
      </c>
      <c r="C11" s="90">
        <f>A4*B11*10000</f>
        <v>0</v>
      </c>
    </row>
    <row r="12" spans="1:3" ht="20.25">
      <c r="A12" s="91" t="s">
        <v>153</v>
      </c>
      <c r="B12" s="94">
        <v>0.015</v>
      </c>
      <c r="C12" s="90">
        <f>A4*B12*10000</f>
        <v>6749.999999999999</v>
      </c>
    </row>
    <row r="13" spans="1:3" ht="20.25">
      <c r="A13" s="91" t="s">
        <v>152</v>
      </c>
      <c r="B13" s="94">
        <v>0.01</v>
      </c>
      <c r="C13" s="90">
        <f>A4*B13*10000</f>
        <v>4500</v>
      </c>
    </row>
    <row r="14" spans="1:3" ht="20.25">
      <c r="A14" s="91" t="s">
        <v>136</v>
      </c>
      <c r="B14" s="95" t="s">
        <v>151</v>
      </c>
      <c r="C14" s="96">
        <v>5000</v>
      </c>
    </row>
    <row r="15" spans="1:3" ht="21">
      <c r="A15" s="92" t="s">
        <v>155</v>
      </c>
      <c r="B15" s="95" t="s">
        <v>151</v>
      </c>
      <c r="C15" s="106">
        <f>3450*B4*0.1</f>
        <v>39675</v>
      </c>
    </row>
    <row r="16" spans="1:3" ht="20.25">
      <c r="A16" s="91" t="s">
        <v>145</v>
      </c>
      <c r="B16" s="151">
        <f>SUM(C8:C15)</f>
        <v>63125</v>
      </c>
      <c r="C16" s="152"/>
    </row>
    <row r="17" spans="1:3" ht="20.25">
      <c r="A17" s="99" t="s">
        <v>147</v>
      </c>
      <c r="B17" s="100">
        <f>A4+B16/10000</f>
        <v>51.3125</v>
      </c>
      <c r="C17" s="101" t="s">
        <v>148</v>
      </c>
    </row>
    <row r="18" spans="1:3" ht="22.5">
      <c r="A18" s="99" t="s">
        <v>144</v>
      </c>
      <c r="B18" s="102">
        <f>B16/10000+C6</f>
        <v>31.3125</v>
      </c>
      <c r="C18" s="103" t="s">
        <v>146</v>
      </c>
    </row>
    <row r="20" ht="15.75">
      <c r="A20" s="93" t="s">
        <v>150</v>
      </c>
    </row>
    <row r="21" ht="15.75">
      <c r="A21" s="107" t="s">
        <v>156</v>
      </c>
    </row>
  </sheetData>
  <mergeCells count="3">
    <mergeCell ref="A1:C1"/>
    <mergeCell ref="A2:C2"/>
    <mergeCell ref="B16:C1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HKZJZ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龙兴天下</dc:creator>
  <cp:keywords/>
  <dc:description/>
  <cp:lastModifiedBy>zhuxiaofeng</cp:lastModifiedBy>
  <dcterms:created xsi:type="dcterms:W3CDTF">2005-01-04T07:06:43Z</dcterms:created>
  <dcterms:modified xsi:type="dcterms:W3CDTF">2005-09-12T00:54:55Z</dcterms:modified>
  <cp:category/>
  <cp:version/>
  <cp:contentType/>
  <cp:contentStatus/>
</cp:coreProperties>
</file>